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<sst xmlns="http://schemas.openxmlformats.org/spreadsheetml/2006/main" count="36070" uniqueCount="7020">
  <si>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</si>
  <si>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</si>
  <si>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</si>
  <si>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</si>
  <si>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</si>
  <si>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</si>
  <si>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</si>
  <si>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</si>
  <si>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</si>
  <si>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</si>
  <si>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</si>
  <si>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</si>
  <si>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</si>
  <si>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</si>
  <si>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</si>
  <si>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</si>
  <si>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</si>
  <si>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</si>
  <si>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</si>
  <si>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</si>
  <si>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</si>
  <si>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</si>
  <si>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</si>
  <si>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</si>
  <si>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</si>
  <si>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</si>
  <si>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</si>
  <si>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</si>
  <si>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</si>
  <si>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</si>
  <si>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</si>
  <si>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</si>
  <si>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</si>
  <si>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</si>
  <si>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</si>
  <si>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</si>
  <si>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</si>
  <si>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</si>
  <si>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</si>
  <si>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</si>
  <si>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</si>
  <si>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</si>
  <si>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</si>
  <si>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</si>
  <si>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Lam, Kevin</t>
  </si>
  <si>
    <t>Jacobs, Alex</t>
  </si>
  <si>
    <t>Hoque, Shatti</t>
  </si>
  <si>
    <t>Hammond, Robert</t>
  </si>
  <si>
    <t>Barrett, Samantha</t>
  </si>
  <si>
    <t>Rubin, Jenn</t>
  </si>
  <si>
    <t>Salas, Emma</t>
  </si>
  <si>
    <t>Schiff, Logan</t>
  </si>
  <si>
    <t>Corsaro, Veronica</t>
  </si>
  <si>
    <t>Pepe, Lailah</t>
  </si>
  <si>
    <t>Patel, Mona</t>
  </si>
  <si>
    <t>Crisona, Kathryn</t>
  </si>
  <si>
    <t>Landry-Reyes, Jane</t>
  </si>
  <si>
    <t>McCowen, Tamella</t>
  </si>
  <si>
    <t>Roman, Melissa</t>
  </si>
  <si>
    <t>Farrell, Emily</t>
  </si>
  <si>
    <t>DeLong, Sarah</t>
  </si>
  <si>
    <t>McCormick, James</t>
  </si>
  <si>
    <t>McHugh Mills, Maura</t>
  </si>
  <si>
    <t>Bailey, Michael</t>
  </si>
  <si>
    <t>Frizell, Catherine</t>
  </si>
  <si>
    <t>Watson, Michael</t>
  </si>
  <si>
    <t>Cowen, Lindsay</t>
  </si>
  <si>
    <t>Marchena, Ivan</t>
  </si>
  <si>
    <t>Chew, Thomas</t>
  </si>
  <si>
    <t>Wong, Humbert</t>
  </si>
  <si>
    <t>Reardon, Elizabeth</t>
  </si>
  <si>
    <t>Hardy, Le`Shera</t>
  </si>
  <si>
    <t>Costa, Stephanie</t>
  </si>
  <si>
    <t>Betances, Gabriella</t>
  </si>
  <si>
    <t>Ukegbu, Ezi</t>
  </si>
  <si>
    <t>Chen, Eugene</t>
  </si>
  <si>
    <t>Guadalupe, Marilyn</t>
  </si>
  <si>
    <t>Pettit, Stephanie</t>
  </si>
  <si>
    <t>Ma, Chiansan</t>
  </si>
  <si>
    <t>Schafler, Eliza</t>
  </si>
  <si>
    <t>Breakstone, Chelsea</t>
  </si>
  <si>
    <t>Norton, Carolyn</t>
  </si>
  <si>
    <t>Cappellini, Bianca</t>
  </si>
  <si>
    <t>Succop, Steven</t>
  </si>
  <si>
    <t>Falco, Fara</t>
  </si>
  <si>
    <t>Nilsson, Erik</t>
  </si>
  <si>
    <t>Briggs, John</t>
  </si>
  <si>
    <t>Kelly, Kitanya</t>
  </si>
  <si>
    <t>Almanzar, Milagros</t>
  </si>
  <si>
    <t>Mottley, Darlene</t>
  </si>
  <si>
    <t>James, Lelia</t>
  </si>
  <si>
    <t>Latterner, Matt</t>
  </si>
  <si>
    <t>Porcelli, Ronald</t>
  </si>
  <si>
    <t>Vega, Rita</t>
  </si>
  <si>
    <t>Delgadillo, Omar</t>
  </si>
  <si>
    <t>Garcia, Keiannis</t>
  </si>
  <si>
    <t>Lowery, Liam</t>
  </si>
  <si>
    <t>Goncharov-Cruickshnk, Natalie</t>
  </si>
  <si>
    <t>Mui, Ernie</t>
  </si>
  <si>
    <t>Heller, Steven</t>
  </si>
  <si>
    <t>Drumm, Kristen</t>
  </si>
  <si>
    <t>De Silva, Natasia</t>
  </si>
  <si>
    <t>Johnson, Emelia</t>
  </si>
  <si>
    <t>Ocana, Johanna</t>
  </si>
  <si>
    <t>Gonzalez, Atenedoro</t>
  </si>
  <si>
    <t>Burns, Erin</t>
  </si>
  <si>
    <t>Feliz, Oswald</t>
  </si>
  <si>
    <t>Hong, Connie</t>
  </si>
  <si>
    <t>Barreda, Catherine</t>
  </si>
  <si>
    <t>Osei, Dionne</t>
  </si>
  <si>
    <t>Cisneros, Marisol</t>
  </si>
  <si>
    <t>Kelly, Dawn</t>
  </si>
  <si>
    <t>Hecht-Felella, Laura</t>
  </si>
  <si>
    <t>Carwin, Mikailla</t>
  </si>
  <si>
    <t>Braudy, Erica</t>
  </si>
  <si>
    <t>Dittakavi, Archana</t>
  </si>
  <si>
    <t>Taylor, Mark</t>
  </si>
  <si>
    <t>Sanderman, Robert</t>
  </si>
  <si>
    <t>MacRae, John</t>
  </si>
  <si>
    <t>Spencer, Eleanor</t>
  </si>
  <si>
    <t>Puleo Jr, Michael</t>
  </si>
  <si>
    <t>Gonzalez, Matias</t>
  </si>
  <si>
    <t>Santos, Marisol</t>
  </si>
  <si>
    <t>Honan, Thomas</t>
  </si>
  <si>
    <t>Vale, Yvonne</t>
  </si>
  <si>
    <t>Golden, Tashanna</t>
  </si>
  <si>
    <t>Rookwood, Shardae</t>
  </si>
  <si>
    <t>Goldberg, Heather</t>
  </si>
  <si>
    <t>Sumerall, Iesha</t>
  </si>
  <si>
    <t>Yamasaki, Emily Woo</t>
  </si>
  <si>
    <t>Batten, Michael</t>
  </si>
  <si>
    <t>McDonald, John</t>
  </si>
  <si>
    <t>Sharma, Sagar</t>
  </si>
  <si>
    <t>Wilkes, Nicole</t>
  </si>
  <si>
    <t>Elmore, Josh</t>
  </si>
  <si>
    <t>Bauer, Kai</t>
  </si>
  <si>
    <t>Vaz, Marie</t>
  </si>
  <si>
    <t>Mancias, Fernando</t>
  </si>
  <si>
    <t>Massey, Randi</t>
  </si>
  <si>
    <t>Castronovo, Julian</t>
  </si>
  <si>
    <t>Nachman, Fraidy</t>
  </si>
  <si>
    <t>Mulles, Carlos</t>
  </si>
  <si>
    <t>Fischman, Jean</t>
  </si>
  <si>
    <t>Rave, Helen</t>
  </si>
  <si>
    <t>Treadwell, Nathan</t>
  </si>
  <si>
    <t>Anunkor, Ifeoma</t>
  </si>
  <si>
    <t>Ross, Jasmine</t>
  </si>
  <si>
    <t>Xie, Vivian</t>
  </si>
  <si>
    <t>Robles-Castillo, Camila</t>
  </si>
  <si>
    <t>Montoute, John</t>
  </si>
  <si>
    <t>He, Ricky</t>
  </si>
  <si>
    <t>Rhee, Bohee</t>
  </si>
  <si>
    <t>Pangonis, Dustin</t>
  </si>
  <si>
    <t>Christian, Fitzroy</t>
  </si>
  <si>
    <t>Englard, Rubin</t>
  </si>
  <si>
    <t>Ortiz, Andrew</t>
  </si>
  <si>
    <t>Dolin, Brett</t>
  </si>
  <si>
    <t>Ricart, Janet</t>
  </si>
  <si>
    <t>Flores, Irene</t>
  </si>
  <si>
    <t>Gonzalez-Munoz, Rossana</t>
  </si>
  <si>
    <t>Ijaz, Kulsoom</t>
  </si>
  <si>
    <t>Allen, Sharette</t>
  </si>
  <si>
    <t>Mercedes, Jannelys</t>
  </si>
  <si>
    <t>Tadepalli, Ashwin</t>
  </si>
  <si>
    <t>McCune, Mary</t>
  </si>
  <si>
    <t>Fukuda, Noriko</t>
  </si>
  <si>
    <t>Diaz, Lino</t>
  </si>
  <si>
    <t>Tan, Andrea</t>
  </si>
  <si>
    <t>Evers, Erin</t>
  </si>
  <si>
    <t>DeVolld, Angela</t>
  </si>
  <si>
    <t>Lin, Tina</t>
  </si>
  <si>
    <t>Belhomme, Wilesca</t>
  </si>
  <si>
    <t>Almanzar, Yocari</t>
  </si>
  <si>
    <t>Fuller-Bennett, Reuben</t>
  </si>
  <si>
    <t>Umoke, Jacob</t>
  </si>
  <si>
    <t>Carlier, Milton</t>
  </si>
  <si>
    <t>Saywack, Priam</t>
  </si>
  <si>
    <t>09/26/2019</t>
  </si>
  <si>
    <t>10/22/2019</t>
  </si>
  <si>
    <t>07/09/2019</t>
  </si>
  <si>
    <t>06/13/2019</t>
  </si>
  <si>
    <t>12/23/2019</t>
  </si>
  <si>
    <t>11/22/2019</t>
  </si>
  <si>
    <t>07/05/2019</t>
  </si>
  <si>
    <t>09/12/2019</t>
  </si>
  <si>
    <t>08/15/2019</t>
  </si>
  <si>
    <t>10/29/2019</t>
  </si>
  <si>
    <t>03/28/2019</t>
  </si>
  <si>
    <t>07/30/2019</t>
  </si>
  <si>
    <t>12/17/2019</t>
  </si>
  <si>
    <t>10/11/2019</t>
  </si>
  <si>
    <t>11/12/2019</t>
  </si>
  <si>
    <t>10/31/2019</t>
  </si>
  <si>
    <t>08/22/2019</t>
  </si>
  <si>
    <t>10/10/2019</t>
  </si>
  <si>
    <t>12/16/2019</t>
  </si>
  <si>
    <t>10/25/2019</t>
  </si>
  <si>
    <t>09/10/2019</t>
  </si>
  <si>
    <t>10/01/2019</t>
  </si>
  <si>
    <t>11/07/2019</t>
  </si>
  <si>
    <t>12/02/2019</t>
  </si>
  <si>
    <t>09/30/2019</t>
  </si>
  <si>
    <t>10/18/2019</t>
  </si>
  <si>
    <t>09/25/2019</t>
  </si>
  <si>
    <t>11/25/2019</t>
  </si>
  <si>
    <t>09/03/2019</t>
  </si>
  <si>
    <t>07/24/2019</t>
  </si>
  <si>
    <t>07/29/2019</t>
  </si>
  <si>
    <t>12/10/2019</t>
  </si>
  <si>
    <t>07/08/2019</t>
  </si>
  <si>
    <t>08/14/2019</t>
  </si>
  <si>
    <t>08/27/2019</t>
  </si>
  <si>
    <t>10/03/2019</t>
  </si>
  <si>
    <t>12/13/2019</t>
  </si>
  <si>
    <t>09/24/2019</t>
  </si>
  <si>
    <t>10/08/2019</t>
  </si>
  <si>
    <t>07/17/2019</t>
  </si>
  <si>
    <t>08/08/2019</t>
  </si>
  <si>
    <t>04/03/2019</t>
  </si>
  <si>
    <t>11/21/2019</t>
  </si>
  <si>
    <t>12/05/2019</t>
  </si>
  <si>
    <t>03/29/2019</t>
  </si>
  <si>
    <t>08/20/2019</t>
  </si>
  <si>
    <t>12/11/2019</t>
  </si>
  <si>
    <t>08/29/2019</t>
  </si>
  <si>
    <t>08/13/2019</t>
  </si>
  <si>
    <t>06/25/2019</t>
  </si>
  <si>
    <t>09/16/2019</t>
  </si>
  <si>
    <t>07/25/2019</t>
  </si>
  <si>
    <t>02/27/2019</t>
  </si>
  <si>
    <t>09/19/2019</t>
  </si>
  <si>
    <t>09/13/2019</t>
  </si>
  <si>
    <t>05/29/2019</t>
  </si>
  <si>
    <t>09/23/2019</t>
  </si>
  <si>
    <t>09/09/2019</t>
  </si>
  <si>
    <t>08/06/2019</t>
  </si>
  <si>
    <t>09/04/2019</t>
  </si>
  <si>
    <t>11/01/2019</t>
  </si>
  <si>
    <t>11/06/2019</t>
  </si>
  <si>
    <t>08/16/2019</t>
  </si>
  <si>
    <t>12/09/2019</t>
  </si>
  <si>
    <t>08/01/2019</t>
  </si>
  <si>
    <t>12/18/2019</t>
  </si>
  <si>
    <t>12/19/2019</t>
  </si>
  <si>
    <t>08/09/2019</t>
  </si>
  <si>
    <t>11/13/2019</t>
  </si>
  <si>
    <t>07/12/2019</t>
  </si>
  <si>
    <t>09/11/2019</t>
  </si>
  <si>
    <t>12/04/2019</t>
  </si>
  <si>
    <t>03/20/2019</t>
  </si>
  <si>
    <t>08/05/2019</t>
  </si>
  <si>
    <t>10/15/2019</t>
  </si>
  <si>
    <t>09/17/2019</t>
  </si>
  <si>
    <t>10/24/2019</t>
  </si>
  <si>
    <t>03/08/2019</t>
  </si>
  <si>
    <t>07/18/2019</t>
  </si>
  <si>
    <t>10/17/2019</t>
  </si>
  <si>
    <t>09/27/2019</t>
  </si>
  <si>
    <t>11/27/2019</t>
  </si>
  <si>
    <t>07/02/2019</t>
  </si>
  <si>
    <t>11/26/2019</t>
  </si>
  <si>
    <t>07/11/2019</t>
  </si>
  <si>
    <t>08/23/2019</t>
  </si>
  <si>
    <t>11/08/2019</t>
  </si>
  <si>
    <t>07/19/2019</t>
  </si>
  <si>
    <t>11/04/2019</t>
  </si>
  <si>
    <t>07/22/2019</t>
  </si>
  <si>
    <t>11/19/2019</t>
  </si>
  <si>
    <t>08/12/2019</t>
  </si>
  <si>
    <t>11/18/2019</t>
  </si>
  <si>
    <t>10/02/2019</t>
  </si>
  <si>
    <t>03/27/2017</t>
  </si>
  <si>
    <t>07/16/2019</t>
  </si>
  <si>
    <t>11/15/2019</t>
  </si>
  <si>
    <t>07/03/2019</t>
  </si>
  <si>
    <t>09/06/2019</t>
  </si>
  <si>
    <t>07/31/2019</t>
  </si>
  <si>
    <t>04/30/2019</t>
  </si>
  <si>
    <t>04/11/2019</t>
  </si>
  <si>
    <t>08/30/2019</t>
  </si>
  <si>
    <t>04/22/2019</t>
  </si>
  <si>
    <t>01/09/2019</t>
  </si>
  <si>
    <t>05/24/2019</t>
  </si>
  <si>
    <t>12/24/2019</t>
  </si>
  <si>
    <t>08/19/2019</t>
  </si>
  <si>
    <t>07/26/2019</t>
  </si>
  <si>
    <t>06/28/2019</t>
  </si>
  <si>
    <t>10/23/2019</t>
  </si>
  <si>
    <t>03/26/2019</t>
  </si>
  <si>
    <t>11/14/2019</t>
  </si>
  <si>
    <t>02/19/2019</t>
  </si>
  <si>
    <t>10/09/2019</t>
  </si>
  <si>
    <t>04/01/2019</t>
  </si>
  <si>
    <t>07/10/2019</t>
  </si>
  <si>
    <t>04/12/2019</t>
  </si>
  <si>
    <t>10/21/2019</t>
  </si>
  <si>
    <t>07/15/2019</t>
  </si>
  <si>
    <t>12/12/2019</t>
  </si>
  <si>
    <t>08/21/2019</t>
  </si>
  <si>
    <t>12/06/2019</t>
  </si>
  <si>
    <t>05/30/2019</t>
  </si>
  <si>
    <t>11/20/2019</t>
  </si>
  <si>
    <t>06/03/2019</t>
  </si>
  <si>
    <t>08/28/2019</t>
  </si>
  <si>
    <t>09/05/2019</t>
  </si>
  <si>
    <t>07/30/2018</t>
  </si>
  <si>
    <t>12/19/2018</t>
  </si>
  <si>
    <t>06/06/2019</t>
  </si>
  <si>
    <t>08/07/2019</t>
  </si>
  <si>
    <t>10/16/2018</t>
  </si>
  <si>
    <t>04/16/2019</t>
  </si>
  <si>
    <t>12/20/2018</t>
  </si>
  <si>
    <t>07/23/2019</t>
  </si>
  <si>
    <t>10/07/2019</t>
  </si>
  <si>
    <t>10/28/2019</t>
  </si>
  <si>
    <t>06/26/2019</t>
  </si>
  <si>
    <t>05/15/2019</t>
  </si>
  <si>
    <t>12/13/2018</t>
  </si>
  <si>
    <t>09/20/2019</t>
  </si>
  <si>
    <t>09/19/2018</t>
  </si>
  <si>
    <t>08/02/2019</t>
  </si>
  <si>
    <t>11/23/2019</t>
  </si>
  <si>
    <t>05/06/2019</t>
  </si>
  <si>
    <t>06/27/2019</t>
  </si>
  <si>
    <t>10/04/2019</t>
  </si>
  <si>
    <t>12/03/2019</t>
  </si>
  <si>
    <t>01/10/2019</t>
  </si>
  <si>
    <t>12/26/2019</t>
  </si>
  <si>
    <t>12/05/2018</t>
  </si>
  <si>
    <t>10/12/2018</t>
  </si>
  <si>
    <t>05/09/2019</t>
  </si>
  <si>
    <t>05/01/2019</t>
  </si>
  <si>
    <t>12/20/2019</t>
  </si>
  <si>
    <t>10/16/2019</t>
  </si>
  <si>
    <t>06/18/2019</t>
  </si>
  <si>
    <t>06/20/2019</t>
  </si>
  <si>
    <t>07/01/2019</t>
  </si>
  <si>
    <t>06/05/2019</t>
  </si>
  <si>
    <t>03/11/2019</t>
  </si>
  <si>
    <t>06/17/2019</t>
  </si>
  <si>
    <t>06/21/2019</t>
  </si>
  <si>
    <t>09/18/2019</t>
  </si>
  <si>
    <t>02/13/2019</t>
  </si>
  <si>
    <t>12/15/2018</t>
  </si>
  <si>
    <t>08/11/2019</t>
  </si>
  <si>
    <t>10/29/2018</t>
  </si>
  <si>
    <t>06/07/2019</t>
  </si>
  <si>
    <t>03/29/2018</t>
  </si>
  <si>
    <t>06/04/2019</t>
  </si>
  <si>
    <t>04/02/2019</t>
  </si>
  <si>
    <t>03/12/2019</t>
  </si>
  <si>
    <t>05/27/2019</t>
  </si>
  <si>
    <t>05/31/2019</t>
  </si>
  <si>
    <t>01/15/2019</t>
  </si>
  <si>
    <t>02/21/2019</t>
  </si>
  <si>
    <t>05/02/2019</t>
  </si>
  <si>
    <t>06/24/2019</t>
  </si>
  <si>
    <t>04/18/2019</t>
  </si>
  <si>
    <t>06/12/2019</t>
  </si>
  <si>
    <t>10/30/2019</t>
  </si>
  <si>
    <t>09/21/2019</t>
  </si>
  <si>
    <t>05/22/2019</t>
  </si>
  <si>
    <t>02/14/2018</t>
  </si>
  <si>
    <t>09/20/2018</t>
  </si>
  <si>
    <t>02/22/2019</t>
  </si>
  <si>
    <t>04/09/2019</t>
  </si>
  <si>
    <t>03/01/2019</t>
  </si>
  <si>
    <t>05/13/2019</t>
  </si>
  <si>
    <t>05/21/2019</t>
  </si>
  <si>
    <t>10/17/2018</t>
  </si>
  <si>
    <t>04/05/2019</t>
  </si>
  <si>
    <t>04/24/2019</t>
  </si>
  <si>
    <t>01/24/2019</t>
  </si>
  <si>
    <t>08/26/2019</t>
  </si>
  <si>
    <t>04/29/2019</t>
  </si>
  <si>
    <t>11/29/2019</t>
  </si>
  <si>
    <t>01/11/2019</t>
  </si>
  <si>
    <t>04/17/2019</t>
  </si>
  <si>
    <t>04/20/2018</t>
  </si>
  <si>
    <t>04/08/2019</t>
  </si>
  <si>
    <t>09/15/2019</t>
  </si>
  <si>
    <t>12/08/2019</t>
  </si>
  <si>
    <t>08/04/2019</t>
  </si>
  <si>
    <t>12/27/2019</t>
  </si>
  <si>
    <t>06/14/2019</t>
  </si>
  <si>
    <t>12/21/2019</t>
  </si>
  <si>
    <t>Marquise</t>
  </si>
  <si>
    <t>Elicha</t>
  </si>
  <si>
    <t>Lisa</t>
  </si>
  <si>
    <t>Elizabeth</t>
  </si>
  <si>
    <t>Amy</t>
  </si>
  <si>
    <t>Jamilah</t>
  </si>
  <si>
    <t>Karen</t>
  </si>
  <si>
    <t>Jessica</t>
  </si>
  <si>
    <t>Shahnaz</t>
  </si>
  <si>
    <t>Leidy Yesenia Escandon</t>
  </si>
  <si>
    <t>Wellawati</t>
  </si>
  <si>
    <t>Onia</t>
  </si>
  <si>
    <t>Ravi</t>
  </si>
  <si>
    <t>Christina</t>
  </si>
  <si>
    <t>Loretta</t>
  </si>
  <si>
    <t>Lakya</t>
  </si>
  <si>
    <t>Maria</t>
  </si>
  <si>
    <t>Pamela</t>
  </si>
  <si>
    <t>Anthony</t>
  </si>
  <si>
    <t>Estela</t>
  </si>
  <si>
    <t>Tiffany</t>
  </si>
  <si>
    <t>Raaheela</t>
  </si>
  <si>
    <t>Bridget</t>
  </si>
  <si>
    <t>Jennifer</t>
  </si>
  <si>
    <t>Brendan</t>
  </si>
  <si>
    <t>Shernelle</t>
  </si>
  <si>
    <t>Sidi</t>
  </si>
  <si>
    <t>Tanya</t>
  </si>
  <si>
    <t>Luis</t>
  </si>
  <si>
    <t>Rachel</t>
  </si>
  <si>
    <t>Christopher</t>
  </si>
  <si>
    <t>Alec</t>
  </si>
  <si>
    <t>Antoine</t>
  </si>
  <si>
    <t>Roberta</t>
  </si>
  <si>
    <t>Tumininu</t>
  </si>
  <si>
    <t>Shemaine</t>
  </si>
  <si>
    <t>Cynthia</t>
  </si>
  <si>
    <t>Jose</t>
  </si>
  <si>
    <t>Tammie</t>
  </si>
  <si>
    <t>Georgette</t>
  </si>
  <si>
    <t>Diana</t>
  </si>
  <si>
    <t>Alex</t>
  </si>
  <si>
    <t>Hovac</t>
  </si>
  <si>
    <t>John</t>
  </si>
  <si>
    <t>Cristal</t>
  </si>
  <si>
    <t>Vincent</t>
  </si>
  <si>
    <t>Raphel</t>
  </si>
  <si>
    <t>Denise</t>
  </si>
  <si>
    <t>Elisa</t>
  </si>
  <si>
    <t>James</t>
  </si>
  <si>
    <t>Saul</t>
  </si>
  <si>
    <t>Deborah</t>
  </si>
  <si>
    <t>Ridley</t>
  </si>
  <si>
    <t>Kezira</t>
  </si>
  <si>
    <t>Destiny</t>
  </si>
  <si>
    <t>Barbara</t>
  </si>
  <si>
    <t>Donna</t>
  </si>
  <si>
    <t>Takeisha</t>
  </si>
  <si>
    <t>Julisa</t>
  </si>
  <si>
    <t>Dulce</t>
  </si>
  <si>
    <t>Fatima</t>
  </si>
  <si>
    <t>Joshua</t>
  </si>
  <si>
    <t>Martin</t>
  </si>
  <si>
    <t>Sarah</t>
  </si>
  <si>
    <t>Juan</t>
  </si>
  <si>
    <t>Bonnie</t>
  </si>
  <si>
    <t>Lissa</t>
  </si>
  <si>
    <t>Monica</t>
  </si>
  <si>
    <t>Lucia</t>
  </si>
  <si>
    <t>Carlos</t>
  </si>
  <si>
    <t>Guillermo</t>
  </si>
  <si>
    <t>Gina</t>
  </si>
  <si>
    <t>Gabby</t>
  </si>
  <si>
    <t>Valicia</t>
  </si>
  <si>
    <t>Valerie</t>
  </si>
  <si>
    <t>Rita</t>
  </si>
  <si>
    <t>Halimeh</t>
  </si>
  <si>
    <t>Carloyn</t>
  </si>
  <si>
    <t>Salisha</t>
  </si>
  <si>
    <t>Danielle</t>
  </si>
  <si>
    <t>Margarita</t>
  </si>
  <si>
    <t>Ferney</t>
  </si>
  <si>
    <t>Nicolette</t>
  </si>
  <si>
    <t>Sam</t>
  </si>
  <si>
    <t>Oumaima</t>
  </si>
  <si>
    <t>Cristian</t>
  </si>
  <si>
    <t>Johanna</t>
  </si>
  <si>
    <t>Fernando</t>
  </si>
  <si>
    <t>Dania</t>
  </si>
  <si>
    <t>Brannon</t>
  </si>
  <si>
    <t>Yaribel</t>
  </si>
  <si>
    <t>Natacha</t>
  </si>
  <si>
    <t>Jasmine</t>
  </si>
  <si>
    <t>Georgina</t>
  </si>
  <si>
    <t>Julianie</t>
  </si>
  <si>
    <t>Julie</t>
  </si>
  <si>
    <t>Marilyn</t>
  </si>
  <si>
    <t>Janette</t>
  </si>
  <si>
    <t>Benanacio</t>
  </si>
  <si>
    <t>Maureen</t>
  </si>
  <si>
    <t>Christine</t>
  </si>
  <si>
    <t>Mi Ran</t>
  </si>
  <si>
    <t>Evelyn</t>
  </si>
  <si>
    <t>Stephanie</t>
  </si>
  <si>
    <t>Felesha</t>
  </si>
  <si>
    <t>Louise</t>
  </si>
  <si>
    <t>Christian</t>
  </si>
  <si>
    <t>Michelle</t>
  </si>
  <si>
    <t>Susana</t>
  </si>
  <si>
    <t>Jenny</t>
  </si>
  <si>
    <t>Samba</t>
  </si>
  <si>
    <t>Vernice</t>
  </si>
  <si>
    <t>Debra</t>
  </si>
  <si>
    <t>Celia</t>
  </si>
  <si>
    <t>Kathleen</t>
  </si>
  <si>
    <t>Marvilin</t>
  </si>
  <si>
    <t>Bernarda</t>
  </si>
  <si>
    <t>Jacqueline</t>
  </si>
  <si>
    <t>Chris</t>
  </si>
  <si>
    <t>Janice</t>
  </si>
  <si>
    <t>Melba</t>
  </si>
  <si>
    <t>Pedro</t>
  </si>
  <si>
    <t>Gael</t>
  </si>
  <si>
    <t>Mark</t>
  </si>
  <si>
    <t>Quyen</t>
  </si>
  <si>
    <t>Dawn</t>
  </si>
  <si>
    <t>Anne</t>
  </si>
  <si>
    <t>Kerry</t>
  </si>
  <si>
    <t>Yolanda</t>
  </si>
  <si>
    <t>Robert</t>
  </si>
  <si>
    <t>Alexander</t>
  </si>
  <si>
    <t>Victor</t>
  </si>
  <si>
    <t>Jesus</t>
  </si>
  <si>
    <t>Nayiesha</t>
  </si>
  <si>
    <t>Carmen</t>
  </si>
  <si>
    <t>Ana</t>
  </si>
  <si>
    <t>Shamark</t>
  </si>
  <si>
    <t>Tatiana</t>
  </si>
  <si>
    <t>Crystal</t>
  </si>
  <si>
    <t>Geneva</t>
  </si>
  <si>
    <t>Gwendolyn</t>
  </si>
  <si>
    <t>Emma</t>
  </si>
  <si>
    <t>Natividad</t>
  </si>
  <si>
    <t>Talitha</t>
  </si>
  <si>
    <t>Tabitha</t>
  </si>
  <si>
    <t>Shakema</t>
  </si>
  <si>
    <t>Essence</t>
  </si>
  <si>
    <t>Candice</t>
  </si>
  <si>
    <t>Lovado</t>
  </si>
  <si>
    <t>Amanda</t>
  </si>
  <si>
    <t>Nashona</t>
  </si>
  <si>
    <t>Ron</t>
  </si>
  <si>
    <t>Helene</t>
  </si>
  <si>
    <t>Tiyanna</t>
  </si>
  <si>
    <t>Denice</t>
  </si>
  <si>
    <t>Monisa</t>
  </si>
  <si>
    <t>Hosnahara</t>
  </si>
  <si>
    <t>Joseph</t>
  </si>
  <si>
    <t>Donell</t>
  </si>
  <si>
    <t>Lourenco</t>
  </si>
  <si>
    <t>Aaron</t>
  </si>
  <si>
    <t>Abdul</t>
  </si>
  <si>
    <t>Sheena</t>
  </si>
  <si>
    <t>Felipa</t>
  </si>
  <si>
    <t>Dinasia</t>
  </si>
  <si>
    <t>Virgilio</t>
  </si>
  <si>
    <t>Marisol</t>
  </si>
  <si>
    <t>Tshura</t>
  </si>
  <si>
    <t>April</t>
  </si>
  <si>
    <t>Timothy</t>
  </si>
  <si>
    <t>Andrej</t>
  </si>
  <si>
    <t>Nina</t>
  </si>
  <si>
    <t>Sikhumbuzo</t>
  </si>
  <si>
    <t>Patricia</t>
  </si>
  <si>
    <t>Rafael</t>
  </si>
  <si>
    <t>Sophia</t>
  </si>
  <si>
    <t>Myra</t>
  </si>
  <si>
    <t>Theresa</t>
  </si>
  <si>
    <t>Flavia</t>
  </si>
  <si>
    <t>Todd</t>
  </si>
  <si>
    <t>Sekou</t>
  </si>
  <si>
    <t>Antonio</t>
  </si>
  <si>
    <t>Cristina</t>
  </si>
  <si>
    <t>Susalin</t>
  </si>
  <si>
    <t>Sonia</t>
  </si>
  <si>
    <t>Arinola</t>
  </si>
  <si>
    <t>Katherine</t>
  </si>
  <si>
    <t>Anderson</t>
  </si>
  <si>
    <t>Cheryl</t>
  </si>
  <si>
    <t>Lucresse</t>
  </si>
  <si>
    <t>Michele</t>
  </si>
  <si>
    <t>Liza</t>
  </si>
  <si>
    <t>Ovidian</t>
  </si>
  <si>
    <t>Erica</t>
  </si>
  <si>
    <t>Jade</t>
  </si>
  <si>
    <t>Lisbeth</t>
  </si>
  <si>
    <t>Richard</t>
  </si>
  <si>
    <t>Rosemae</t>
  </si>
  <si>
    <t>Mirely</t>
  </si>
  <si>
    <t>Charlotte</t>
  </si>
  <si>
    <t>David</t>
  </si>
  <si>
    <t>Howard</t>
  </si>
  <si>
    <t>Thomas</t>
  </si>
  <si>
    <t>Lorraine</t>
  </si>
  <si>
    <t>Hope</t>
  </si>
  <si>
    <t>Hesham</t>
  </si>
  <si>
    <t>Shah</t>
  </si>
  <si>
    <t>Reynaldo</t>
  </si>
  <si>
    <t>Kevin</t>
  </si>
  <si>
    <t>Racquel</t>
  </si>
  <si>
    <t>Sharon</t>
  </si>
  <si>
    <t>Angelica</t>
  </si>
  <si>
    <t>Ryanna</t>
  </si>
  <si>
    <t>Redis</t>
  </si>
  <si>
    <t>Ruth</t>
  </si>
  <si>
    <t>Arissa</t>
  </si>
  <si>
    <t>Gladys</t>
  </si>
  <si>
    <t>Zeribel</t>
  </si>
  <si>
    <t>Mona</t>
  </si>
  <si>
    <t>Jessie</t>
  </si>
  <si>
    <t>Miguel</t>
  </si>
  <si>
    <t>Starsheema</t>
  </si>
  <si>
    <t>Nichole</t>
  </si>
  <si>
    <t>Pelagio</t>
  </si>
  <si>
    <t>Nuria</t>
  </si>
  <si>
    <t>Isabel</t>
  </si>
  <si>
    <t>Eulalia</t>
  </si>
  <si>
    <t>Eddelyn</t>
  </si>
  <si>
    <t>Vivian</t>
  </si>
  <si>
    <t>Isi</t>
  </si>
  <si>
    <t>Asia</t>
  </si>
  <si>
    <t>Awelda</t>
  </si>
  <si>
    <t>Viela</t>
  </si>
  <si>
    <t>Yahaira</t>
  </si>
  <si>
    <t>Latisha</t>
  </si>
  <si>
    <t>Aquilina</t>
  </si>
  <si>
    <t>Letha</t>
  </si>
  <si>
    <t>Nancy</t>
  </si>
  <si>
    <t>Cherly</t>
  </si>
  <si>
    <t>Marva</t>
  </si>
  <si>
    <t>Hanirka</t>
  </si>
  <si>
    <t>Walter</t>
  </si>
  <si>
    <t>Paul</t>
  </si>
  <si>
    <t>Celenio</t>
  </si>
  <si>
    <t>Peta</t>
  </si>
  <si>
    <t>Ellen</t>
  </si>
  <si>
    <t>Dionne</t>
  </si>
  <si>
    <t>Rodolfo</t>
  </si>
  <si>
    <t>Hanan</t>
  </si>
  <si>
    <t>Danesha</t>
  </si>
  <si>
    <t>Tiara</t>
  </si>
  <si>
    <t>Gregory</t>
  </si>
  <si>
    <t>Brooke</t>
  </si>
  <si>
    <t>Gisela</t>
  </si>
  <si>
    <t>Mahranie</t>
  </si>
  <si>
    <t>Lourdes</t>
  </si>
  <si>
    <t>Cindy</t>
  </si>
  <si>
    <t>Raihanah</t>
  </si>
  <si>
    <t>Paulette</t>
  </si>
  <si>
    <t>Marie</t>
  </si>
  <si>
    <t>Beth</t>
  </si>
  <si>
    <t>Asuncion</t>
  </si>
  <si>
    <t>Jae</t>
  </si>
  <si>
    <t>Kendra</t>
  </si>
  <si>
    <t>Johny</t>
  </si>
  <si>
    <t>Rosaly</t>
  </si>
  <si>
    <t>Joanna</t>
  </si>
  <si>
    <t>Joanne</t>
  </si>
  <si>
    <t>Juanita</t>
  </si>
  <si>
    <t>Ivan</t>
  </si>
  <si>
    <t>Marcia</t>
  </si>
  <si>
    <t>Trelane</t>
  </si>
  <si>
    <t>Michiko</t>
  </si>
  <si>
    <t>Malisha</t>
  </si>
  <si>
    <t>Danny</t>
  </si>
  <si>
    <t>Keith</t>
  </si>
  <si>
    <t>Ivette</t>
  </si>
  <si>
    <t>Ralph</t>
  </si>
  <si>
    <t>Yose</t>
  </si>
  <si>
    <t>Laura</t>
  </si>
  <si>
    <t>Marina</t>
  </si>
  <si>
    <t>Lila</t>
  </si>
  <si>
    <t>Euginia</t>
  </si>
  <si>
    <t>Flor</t>
  </si>
  <si>
    <t>Yvonne</t>
  </si>
  <si>
    <t>Yuberkis</t>
  </si>
  <si>
    <t>Veronica</t>
  </si>
  <si>
    <t>Latoya</t>
  </si>
  <si>
    <t>Tyeonna</t>
  </si>
  <si>
    <t>Jeannette</t>
  </si>
  <si>
    <t>Alfredo</t>
  </si>
  <si>
    <t>Steven</t>
  </si>
  <si>
    <t>Luisa</t>
  </si>
  <si>
    <t>Rosa</t>
  </si>
  <si>
    <t>Lakeshia</t>
  </si>
  <si>
    <t>Latasha</t>
  </si>
  <si>
    <t>Angel</t>
  </si>
  <si>
    <t>Ousmane</t>
  </si>
  <si>
    <t>Rossmery</t>
  </si>
  <si>
    <t>Betty</t>
  </si>
  <si>
    <t>Robin</t>
  </si>
  <si>
    <t>Alicia</t>
  </si>
  <si>
    <t>Tyrone</t>
  </si>
  <si>
    <t>Zulema</t>
  </si>
  <si>
    <t>Felia</t>
  </si>
  <si>
    <t>Toby</t>
  </si>
  <si>
    <t>Renee</t>
  </si>
  <si>
    <t>Norma</t>
  </si>
  <si>
    <t>Roberto</t>
  </si>
  <si>
    <t>Debbie</t>
  </si>
  <si>
    <t>Rebecca</t>
  </si>
  <si>
    <t>Shirley</t>
  </si>
  <si>
    <t>Juana</t>
  </si>
  <si>
    <t>Sade</t>
  </si>
  <si>
    <t>Raisa</t>
  </si>
  <si>
    <t>Caesar</t>
  </si>
  <si>
    <t>Yadira</t>
  </si>
  <si>
    <t>Temistocles</t>
  </si>
  <si>
    <t>Charles</t>
  </si>
  <si>
    <t>Nicole</t>
  </si>
  <si>
    <t>Heather</t>
  </si>
  <si>
    <t>Kimberly</t>
  </si>
  <si>
    <t>Beverly</t>
  </si>
  <si>
    <t>Antonia</t>
  </si>
  <si>
    <t>Blu</t>
  </si>
  <si>
    <t>Jardi</t>
  </si>
  <si>
    <t>Ada</t>
  </si>
  <si>
    <t>Rachelle</t>
  </si>
  <si>
    <t>Abla</t>
  </si>
  <si>
    <t>Fossillon</t>
  </si>
  <si>
    <t>Carol</t>
  </si>
  <si>
    <t>Oida</t>
  </si>
  <si>
    <t>Vicente</t>
  </si>
  <si>
    <t>Hector</t>
  </si>
  <si>
    <t>Dannielle</t>
  </si>
  <si>
    <t>Eula</t>
  </si>
  <si>
    <t>Govchlya</t>
  </si>
  <si>
    <t>Gordon</t>
  </si>
  <si>
    <t>Charlene</t>
  </si>
  <si>
    <t>Kalven</t>
  </si>
  <si>
    <t>Lonnie</t>
  </si>
  <si>
    <t>Erasmo</t>
  </si>
  <si>
    <t>Migdalia</t>
  </si>
  <si>
    <t>Magdalia</t>
  </si>
  <si>
    <t>Avian</t>
  </si>
  <si>
    <t>LUCRETIA</t>
  </si>
  <si>
    <t>Marcela</t>
  </si>
  <si>
    <t>Hernando</t>
  </si>
  <si>
    <t>Kim</t>
  </si>
  <si>
    <t>Beatrice</t>
  </si>
  <si>
    <t>Roman</t>
  </si>
  <si>
    <t>Bernard</t>
  </si>
  <si>
    <t>Edgar</t>
  </si>
  <si>
    <t>Angela</t>
  </si>
  <si>
    <t>Leslie</t>
  </si>
  <si>
    <t>Graciela</t>
  </si>
  <si>
    <t>Shalon</t>
  </si>
  <si>
    <t>Jackie</t>
  </si>
  <si>
    <t>Clyde</t>
  </si>
  <si>
    <t>Obiaba</t>
  </si>
  <si>
    <t>Myrtle</t>
  </si>
  <si>
    <t>Suzanne</t>
  </si>
  <si>
    <t>Ramona</t>
  </si>
  <si>
    <t>Dawna</t>
  </si>
  <si>
    <t>Aneicia</t>
  </si>
  <si>
    <t>Carrie</t>
  </si>
  <si>
    <t>Archie</t>
  </si>
  <si>
    <t>Maritza</t>
  </si>
  <si>
    <t>Dorothy</t>
  </si>
  <si>
    <t>Austin</t>
  </si>
  <si>
    <t>Raymond</t>
  </si>
  <si>
    <t>Darlene</t>
  </si>
  <si>
    <t>Kin Sau</t>
  </si>
  <si>
    <t>Joachim</t>
  </si>
  <si>
    <t>Widisberto</t>
  </si>
  <si>
    <t>Olga</t>
  </si>
  <si>
    <t>Mariatou</t>
  </si>
  <si>
    <t>Raquel</t>
  </si>
  <si>
    <t>Alan</t>
  </si>
  <si>
    <t>Marcos</t>
  </si>
  <si>
    <t>Wilfredo</t>
  </si>
  <si>
    <t>Kelli</t>
  </si>
  <si>
    <t>Mireya</t>
  </si>
  <si>
    <t>Zulma</t>
  </si>
  <si>
    <t>Nicholas</t>
  </si>
  <si>
    <t>Frank</t>
  </si>
  <si>
    <t>Orquidea</t>
  </si>
  <si>
    <t>Salahuddin</t>
  </si>
  <si>
    <t>Bienvenido</t>
  </si>
  <si>
    <t>Brender</t>
  </si>
  <si>
    <t>Bart</t>
  </si>
  <si>
    <t>Beryl</t>
  </si>
  <si>
    <t>Delores</t>
  </si>
  <si>
    <t>Agatha</t>
  </si>
  <si>
    <t>Dora</t>
  </si>
  <si>
    <t>Eucarina</t>
  </si>
  <si>
    <t>Enrique</t>
  </si>
  <si>
    <t>Kyla</t>
  </si>
  <si>
    <t>Soribel</t>
  </si>
  <si>
    <t>Elva</t>
  </si>
  <si>
    <t>Carlina</t>
  </si>
  <si>
    <t>Mario</t>
  </si>
  <si>
    <t>Samuel</t>
  </si>
  <si>
    <t>Harvey</t>
  </si>
  <si>
    <t>Lakisha</t>
  </si>
  <si>
    <t>Russell</t>
  </si>
  <si>
    <t>Benita</t>
  </si>
  <si>
    <t>I</t>
  </si>
  <si>
    <t>Ariel</t>
  </si>
  <si>
    <t>Tori</t>
  </si>
  <si>
    <t>Santa</t>
  </si>
  <si>
    <t>Shanel</t>
  </si>
  <si>
    <t>Magnolia</t>
  </si>
  <si>
    <t>Wandy</t>
  </si>
  <si>
    <t>Stefanie</t>
  </si>
  <si>
    <t>Sursattie</t>
  </si>
  <si>
    <t>Leonard</t>
  </si>
  <si>
    <t>Morris</t>
  </si>
  <si>
    <t>Albert</t>
  </si>
  <si>
    <t>Evita</t>
  </si>
  <si>
    <t>Helen</t>
  </si>
  <si>
    <t>Liautaud</t>
  </si>
  <si>
    <t>Doris</t>
  </si>
  <si>
    <t>Kneysha</t>
  </si>
  <si>
    <t>Nickholos</t>
  </si>
  <si>
    <t>Harry</t>
  </si>
  <si>
    <t>Kenny</t>
  </si>
  <si>
    <t>Krystyna</t>
  </si>
  <si>
    <t>Peter</t>
  </si>
  <si>
    <t>Brian</t>
  </si>
  <si>
    <t>Jay</t>
  </si>
  <si>
    <t>Megnal</t>
  </si>
  <si>
    <t>Josefina</t>
  </si>
  <si>
    <t>Wanda</t>
  </si>
  <si>
    <t>En</t>
  </si>
  <si>
    <t>Zhen Guang</t>
  </si>
  <si>
    <t>Norkis</t>
  </si>
  <si>
    <t>Diandre</t>
  </si>
  <si>
    <t>Rosemarie</t>
  </si>
  <si>
    <t>Maleja</t>
  </si>
  <si>
    <t>Hanika</t>
  </si>
  <si>
    <t>Bill</t>
  </si>
  <si>
    <t>Alexandria</t>
  </si>
  <si>
    <t>Yara</t>
  </si>
  <si>
    <t>Solomon</t>
  </si>
  <si>
    <t>Mariel</t>
  </si>
  <si>
    <t>Carolyn</t>
  </si>
  <si>
    <t>Leonora</t>
  </si>
  <si>
    <t>Mildred</t>
  </si>
  <si>
    <t>Arcides</t>
  </si>
  <si>
    <t>Olivia</t>
  </si>
  <si>
    <t>Kafele</t>
  </si>
  <si>
    <t>Victoria</t>
  </si>
  <si>
    <t>Sara</t>
  </si>
  <si>
    <t>Jamal</t>
  </si>
  <si>
    <t>Nelson</t>
  </si>
  <si>
    <t>Elena</t>
  </si>
  <si>
    <t>Bernadette</t>
  </si>
  <si>
    <t>Hongjie</t>
  </si>
  <si>
    <t>Janet</t>
  </si>
  <si>
    <t>In Sun</t>
  </si>
  <si>
    <t>Elba</t>
  </si>
  <si>
    <t>Ingrid</t>
  </si>
  <si>
    <t>Chetree</t>
  </si>
  <si>
    <t>Florence</t>
  </si>
  <si>
    <t>Zul-qarnain</t>
  </si>
  <si>
    <t>Martina</t>
  </si>
  <si>
    <t>Yvette</t>
  </si>
  <si>
    <t>Nikita</t>
  </si>
  <si>
    <t>Sabrina</t>
  </si>
  <si>
    <t>Jeffrey</t>
  </si>
  <si>
    <t>Oscar</t>
  </si>
  <si>
    <t>Rosalind</t>
  </si>
  <si>
    <t>Tomicka</t>
  </si>
  <si>
    <t>Erica Gomez</t>
  </si>
  <si>
    <t>Prestina</t>
  </si>
  <si>
    <t>Yiraldy</t>
  </si>
  <si>
    <t>Zobeida</t>
  </si>
  <si>
    <t>Gail</t>
  </si>
  <si>
    <t>Jacinto</t>
  </si>
  <si>
    <t>Esperanza</t>
  </si>
  <si>
    <t>Gertrude</t>
  </si>
  <si>
    <t>Abeda</t>
  </si>
  <si>
    <t>Roger</t>
  </si>
  <si>
    <t>Reyna</t>
  </si>
  <si>
    <t>Joaris</t>
  </si>
  <si>
    <t>Manuelita</t>
  </si>
  <si>
    <t>Martiza</t>
  </si>
  <si>
    <t>Jorge</t>
  </si>
  <si>
    <t>Jhana</t>
  </si>
  <si>
    <t>Blondy</t>
  </si>
  <si>
    <t>Digna</t>
  </si>
  <si>
    <t>Madeline</t>
  </si>
  <si>
    <t>Ernest</t>
  </si>
  <si>
    <t>Mariano</t>
  </si>
  <si>
    <t>Mayra</t>
  </si>
  <si>
    <t>Outmane</t>
  </si>
  <si>
    <t>Domg</t>
  </si>
  <si>
    <t>Alara</t>
  </si>
  <si>
    <t>Modesta</t>
  </si>
  <si>
    <t>Ymelda</t>
  </si>
  <si>
    <t>Jenaire</t>
  </si>
  <si>
    <t>Therese</t>
  </si>
  <si>
    <t>Mary</t>
  </si>
  <si>
    <t>Fanny</t>
  </si>
  <si>
    <t>Michael</t>
  </si>
  <si>
    <t>Gabino</t>
  </si>
  <si>
    <t>Mauro</t>
  </si>
  <si>
    <t>Stevenson</t>
  </si>
  <si>
    <t>Rogelin</t>
  </si>
  <si>
    <t>Khmari</t>
  </si>
  <si>
    <t>Yafrigi</t>
  </si>
  <si>
    <t>Phyllis</t>
  </si>
  <si>
    <t>Leonides</t>
  </si>
  <si>
    <t>Marcel</t>
  </si>
  <si>
    <t>Andrea</t>
  </si>
  <si>
    <t>Fang</t>
  </si>
  <si>
    <t>Karyn</t>
  </si>
  <si>
    <t>Natasha</t>
  </si>
  <si>
    <t>Lola</t>
  </si>
  <si>
    <t>Winston</t>
  </si>
  <si>
    <t>Jewel</t>
  </si>
  <si>
    <t>Lorial</t>
  </si>
  <si>
    <t>Eva</t>
  </si>
  <si>
    <t>Mikhail</t>
  </si>
  <si>
    <t>Lupe</t>
  </si>
  <si>
    <t>Murris</t>
  </si>
  <si>
    <t>Yesenia</t>
  </si>
  <si>
    <t>Justin</t>
  </si>
  <si>
    <t>Vanessa</t>
  </si>
  <si>
    <t>Deonna</t>
  </si>
  <si>
    <t>Md</t>
  </si>
  <si>
    <t>Geraldin</t>
  </si>
  <si>
    <t>Adiel</t>
  </si>
  <si>
    <t>Ireen</t>
  </si>
  <si>
    <t>Osborne</t>
  </si>
  <si>
    <t>Bartola</t>
  </si>
  <si>
    <t>Virginia</t>
  </si>
  <si>
    <t>Faruk</t>
  </si>
  <si>
    <t>Jeanette</t>
  </si>
  <si>
    <t>Lawrence</t>
  </si>
  <si>
    <t>Daewoo</t>
  </si>
  <si>
    <t>Otha</t>
  </si>
  <si>
    <t>Sheila</t>
  </si>
  <si>
    <t>Josephine</t>
  </si>
  <si>
    <t>Yomaira</t>
  </si>
  <si>
    <t>Daina</t>
  </si>
  <si>
    <t>Marilu</t>
  </si>
  <si>
    <t>Angellica</t>
  </si>
  <si>
    <t>Lupita</t>
  </si>
  <si>
    <t>Yojanna</t>
  </si>
  <si>
    <t>Colleen</t>
  </si>
  <si>
    <t>Jeremy</t>
  </si>
  <si>
    <t>Marien</t>
  </si>
  <si>
    <t>Jean</t>
  </si>
  <si>
    <t>Sucre</t>
  </si>
  <si>
    <t>Clarence</t>
  </si>
  <si>
    <t>Sabrena</t>
  </si>
  <si>
    <t>Karl</t>
  </si>
  <si>
    <t>Brette</t>
  </si>
  <si>
    <t>Luz</t>
  </si>
  <si>
    <t>Anselma</t>
  </si>
  <si>
    <t>Saabirah</t>
  </si>
  <si>
    <t>Giacinta</t>
  </si>
  <si>
    <t>Gemma</t>
  </si>
  <si>
    <t>Dianna</t>
  </si>
  <si>
    <t>Loida</t>
  </si>
  <si>
    <t>Shauna</t>
  </si>
  <si>
    <t>George</t>
  </si>
  <si>
    <t>Narcisa</t>
  </si>
  <si>
    <t>Mercedes</t>
  </si>
  <si>
    <t>Leopoldo</t>
  </si>
  <si>
    <t>Claudia</t>
  </si>
  <si>
    <t>Hazel</t>
  </si>
  <si>
    <t>Damaris</t>
  </si>
  <si>
    <t>Anasta</t>
  </si>
  <si>
    <t>Inocencio</t>
  </si>
  <si>
    <t>Tameka</t>
  </si>
  <si>
    <t>Mattie</t>
  </si>
  <si>
    <t>Young Tae</t>
  </si>
  <si>
    <t>Roxanne</t>
  </si>
  <si>
    <t>Xenia</t>
  </si>
  <si>
    <t>Ray</t>
  </si>
  <si>
    <t>Aleysi</t>
  </si>
  <si>
    <t>Carter</t>
  </si>
  <si>
    <t>Aracelly</t>
  </si>
  <si>
    <t>Gloria</t>
  </si>
  <si>
    <t>Mahbub</t>
  </si>
  <si>
    <t>Andrew</t>
  </si>
  <si>
    <t>Massa</t>
  </si>
  <si>
    <t>Joe</t>
  </si>
  <si>
    <t>Karla</t>
  </si>
  <si>
    <t>Heth</t>
  </si>
  <si>
    <t>Vilma</t>
  </si>
  <si>
    <t>Wakina</t>
  </si>
  <si>
    <t>Waquar</t>
  </si>
  <si>
    <t>Venice</t>
  </si>
  <si>
    <t>Martha</t>
  </si>
  <si>
    <t>Heavenly</t>
  </si>
  <si>
    <t>Socorro</t>
  </si>
  <si>
    <t>Jaime</t>
  </si>
  <si>
    <t>Rosario</t>
  </si>
  <si>
    <t>Ahmed</t>
  </si>
  <si>
    <t>Araceli</t>
  </si>
  <si>
    <t>Francisco</t>
  </si>
  <si>
    <t>Cesar</t>
  </si>
  <si>
    <t>Tanachi</t>
  </si>
  <si>
    <t>Desmond</t>
  </si>
  <si>
    <t>Deyaniris</t>
  </si>
  <si>
    <t>Savannah</t>
  </si>
  <si>
    <t>Samantha</t>
  </si>
  <si>
    <t>Joy</t>
  </si>
  <si>
    <t>Regina</t>
  </si>
  <si>
    <t>Afra</t>
  </si>
  <si>
    <t>Adolfo</t>
  </si>
  <si>
    <t>Angelique</t>
  </si>
  <si>
    <t>Nadine</t>
  </si>
  <si>
    <t>Engels</t>
  </si>
  <si>
    <t>Junie</t>
  </si>
  <si>
    <t>Elvida</t>
  </si>
  <si>
    <t>Anna</t>
  </si>
  <si>
    <t>Eugene</t>
  </si>
  <si>
    <t>Valerine</t>
  </si>
  <si>
    <t>Kathy</t>
  </si>
  <si>
    <t>Frederica</t>
  </si>
  <si>
    <t>Nikcole</t>
  </si>
  <si>
    <t>Cielo</t>
  </si>
  <si>
    <t>Mayai</t>
  </si>
  <si>
    <t>Jere</t>
  </si>
  <si>
    <t>Bernice</t>
  </si>
  <si>
    <t>Maurenee</t>
  </si>
  <si>
    <t>Larry</t>
  </si>
  <si>
    <t>Sean</t>
  </si>
  <si>
    <t>Edward</t>
  </si>
  <si>
    <t>Altagracia</t>
  </si>
  <si>
    <t>Phyliss</t>
  </si>
  <si>
    <t>Beatriz</t>
  </si>
  <si>
    <t>Maria Valdez</t>
  </si>
  <si>
    <t>Marian Valdez</t>
  </si>
  <si>
    <t>Agnes</t>
  </si>
  <si>
    <t>Dariuswynter</t>
  </si>
  <si>
    <t>Margaret</t>
  </si>
  <si>
    <t>Myrna</t>
  </si>
  <si>
    <t>Orlando</t>
  </si>
  <si>
    <t>Selwyn</t>
  </si>
  <si>
    <t>Ted</t>
  </si>
  <si>
    <t>Jane</t>
  </si>
  <si>
    <t>Shakirah</t>
  </si>
  <si>
    <t>Kenneth</t>
  </si>
  <si>
    <t>Mujahid</t>
  </si>
  <si>
    <t>Stann</t>
  </si>
  <si>
    <t>Coral</t>
  </si>
  <si>
    <t>Armanda</t>
  </si>
  <si>
    <t>Kenneshea</t>
  </si>
  <si>
    <t>Reginald</t>
  </si>
  <si>
    <t>Lysa</t>
  </si>
  <si>
    <t>Rosalia</t>
  </si>
  <si>
    <t>Faye</t>
  </si>
  <si>
    <t>Gary</t>
  </si>
  <si>
    <t>Dane</t>
  </si>
  <si>
    <t>Daisy</t>
  </si>
  <si>
    <t>Thomisina</t>
  </si>
  <si>
    <t>Monirul</t>
  </si>
  <si>
    <t>Kelvin</t>
  </si>
  <si>
    <t>Chord Ling</t>
  </si>
  <si>
    <t>Vere</t>
  </si>
  <si>
    <t>Melody</t>
  </si>
  <si>
    <t>Latif</t>
  </si>
  <si>
    <t>Adam</t>
  </si>
  <si>
    <t>Edna</t>
  </si>
  <si>
    <t>Susie</t>
  </si>
  <si>
    <t>Trent</t>
  </si>
  <si>
    <t>Lucy</t>
  </si>
  <si>
    <t>Elvira</t>
  </si>
  <si>
    <t>MaryAnn</t>
  </si>
  <si>
    <t>Magino</t>
  </si>
  <si>
    <t>Sherry</t>
  </si>
  <si>
    <t>Myranda</t>
  </si>
  <si>
    <t>Naomi</t>
  </si>
  <si>
    <t>Alvaro</t>
  </si>
  <si>
    <t>Eloisa</t>
  </si>
  <si>
    <t>Imelda</t>
  </si>
  <si>
    <t>Yukie</t>
  </si>
  <si>
    <t>Nidia</t>
  </si>
  <si>
    <t>Jodi</t>
  </si>
  <si>
    <t>Connie</t>
  </si>
  <si>
    <t>Arthur</t>
  </si>
  <si>
    <t>Ryan</t>
  </si>
  <si>
    <t>Litz</t>
  </si>
  <si>
    <t>Patrice</t>
  </si>
  <si>
    <t>Jerry</t>
  </si>
  <si>
    <t>Yuverky</t>
  </si>
  <si>
    <t>Sallie</t>
  </si>
  <si>
    <t>Myriam</t>
  </si>
  <si>
    <t>Dolores</t>
  </si>
  <si>
    <t>Aysha</t>
  </si>
  <si>
    <t>Soto</t>
  </si>
  <si>
    <t>Hannah</t>
  </si>
  <si>
    <t>Towanda</t>
  </si>
  <si>
    <t>Tanita</t>
  </si>
  <si>
    <t>Charisse</t>
  </si>
  <si>
    <t>Tonia</t>
  </si>
  <si>
    <t>Melissa</t>
  </si>
  <si>
    <t>Jermaine</t>
  </si>
  <si>
    <t>Shani</t>
  </si>
  <si>
    <t>Daysi</t>
  </si>
  <si>
    <t>Pegi</t>
  </si>
  <si>
    <t>Maude</t>
  </si>
  <si>
    <t>Brenda</t>
  </si>
  <si>
    <t>Donald</t>
  </si>
  <si>
    <t>Loulou</t>
  </si>
  <si>
    <t>Hossin</t>
  </si>
  <si>
    <t>Tameca</t>
  </si>
  <si>
    <t>Charlie</t>
  </si>
  <si>
    <t>Nermine</t>
  </si>
  <si>
    <t>Francesca</t>
  </si>
  <si>
    <t>Zenaida</t>
  </si>
  <si>
    <t>Venetta</t>
  </si>
  <si>
    <t>Marcella</t>
  </si>
  <si>
    <t>Mayleen</t>
  </si>
  <si>
    <t>Azede</t>
  </si>
  <si>
    <t>Rachael</t>
  </si>
  <si>
    <t>Ofelia</t>
  </si>
  <si>
    <t>Sandra</t>
  </si>
  <si>
    <t>Roma</t>
  </si>
  <si>
    <t>Esther</t>
  </si>
  <si>
    <t>Takisha</t>
  </si>
  <si>
    <t>Eulogia</t>
  </si>
  <si>
    <t>Clarice</t>
  </si>
  <si>
    <t>Oluwatosin</t>
  </si>
  <si>
    <t>Damilola</t>
  </si>
  <si>
    <t>Jenneha</t>
  </si>
  <si>
    <t>Quantika</t>
  </si>
  <si>
    <t>Alejandra</t>
  </si>
  <si>
    <t>Carla</t>
  </si>
  <si>
    <t>Moduju</t>
  </si>
  <si>
    <t>Belkis</t>
  </si>
  <si>
    <t>Rhonda</t>
  </si>
  <si>
    <t>Ramiro</t>
  </si>
  <si>
    <t>Ziola</t>
  </si>
  <si>
    <t>Dylan</t>
  </si>
  <si>
    <t>Mohammed</t>
  </si>
  <si>
    <t>Nedia</t>
  </si>
  <si>
    <t>Johnathan</t>
  </si>
  <si>
    <t>Angelo</t>
  </si>
  <si>
    <t>Jack</t>
  </si>
  <si>
    <t>Deanna</t>
  </si>
  <si>
    <t>Alaina</t>
  </si>
  <si>
    <t>Vera</t>
  </si>
  <si>
    <t>Rosita</t>
  </si>
  <si>
    <t>Ernesto</t>
  </si>
  <si>
    <t>Mitchell</t>
  </si>
  <si>
    <t>Dazil</t>
  </si>
  <si>
    <t>Jesse</t>
  </si>
  <si>
    <t>Abelardo</t>
  </si>
  <si>
    <t>Leston</t>
  </si>
  <si>
    <t>Aracelis</t>
  </si>
  <si>
    <t>Antoinette</t>
  </si>
  <si>
    <t>Octavio</t>
  </si>
  <si>
    <t>Gretelle</t>
  </si>
  <si>
    <t>Kyianna</t>
  </si>
  <si>
    <t>Juanne</t>
  </si>
  <si>
    <t>Magdalen</t>
  </si>
  <si>
    <t>Janean</t>
  </si>
  <si>
    <t>Tammy</t>
  </si>
  <si>
    <t>Cathy</t>
  </si>
  <si>
    <t>Tamika</t>
  </si>
  <si>
    <t>Craig</t>
  </si>
  <si>
    <t>Phon</t>
  </si>
  <si>
    <t>Blanch</t>
  </si>
  <si>
    <t>Clive</t>
  </si>
  <si>
    <t>Cassandra</t>
  </si>
  <si>
    <t>Lorna</t>
  </si>
  <si>
    <t>Sedina</t>
  </si>
  <si>
    <t>Edith</t>
  </si>
  <si>
    <t>Gautam</t>
  </si>
  <si>
    <t>Ruben</t>
  </si>
  <si>
    <t>Cecilia</t>
  </si>
  <si>
    <t>Sana</t>
  </si>
  <si>
    <t>Lauraine</t>
  </si>
  <si>
    <t>Nilma</t>
  </si>
  <si>
    <t>Sujeny</t>
  </si>
  <si>
    <t>Otasowie</t>
  </si>
  <si>
    <t>Joan</t>
  </si>
  <si>
    <t>Herlin</t>
  </si>
  <si>
    <t>Keneeda</t>
  </si>
  <si>
    <t>cassandra</t>
  </si>
  <si>
    <t>Grace</t>
  </si>
  <si>
    <t>Annette</t>
  </si>
  <si>
    <t>Shelly Ann</t>
  </si>
  <si>
    <t>Marsha</t>
  </si>
  <si>
    <t>Chrysanthius</t>
  </si>
  <si>
    <t>Norberto</t>
  </si>
  <si>
    <t>Jhon</t>
  </si>
  <si>
    <t>Trilbie</t>
  </si>
  <si>
    <t>Towpee</t>
  </si>
  <si>
    <t>Linda</t>
  </si>
  <si>
    <t>Caridad</t>
  </si>
  <si>
    <t>Osei</t>
  </si>
  <si>
    <t>Ronald</t>
  </si>
  <si>
    <t>Vicenta</t>
  </si>
  <si>
    <t>Kameeka</t>
  </si>
  <si>
    <t>Desra</t>
  </si>
  <si>
    <t>Allan</t>
  </si>
  <si>
    <t>Shelease</t>
  </si>
  <si>
    <t>Lattina</t>
  </si>
  <si>
    <t>Kimmi</t>
  </si>
  <si>
    <t>Abigail</t>
  </si>
  <si>
    <t>Kwadwo</t>
  </si>
  <si>
    <t>Milagro</t>
  </si>
  <si>
    <t>Delia</t>
  </si>
  <si>
    <t>Becky</t>
  </si>
  <si>
    <t>Alberto</t>
  </si>
  <si>
    <t>Ruby</t>
  </si>
  <si>
    <t>Ramesh</t>
  </si>
  <si>
    <t>Melvin</t>
  </si>
  <si>
    <t>Joann</t>
  </si>
  <si>
    <t>Natalie</t>
  </si>
  <si>
    <t>Bukola</t>
  </si>
  <si>
    <t>Isaac</t>
  </si>
  <si>
    <t>Diane</t>
  </si>
  <si>
    <t>Charmaine</t>
  </si>
  <si>
    <t>Mayi</t>
  </si>
  <si>
    <t>Mehira</t>
  </si>
  <si>
    <t>Kieran</t>
  </si>
  <si>
    <t>Viola</t>
  </si>
  <si>
    <t>Efrat</t>
  </si>
  <si>
    <t>Lucita</t>
  </si>
  <si>
    <t>Garcia</t>
  </si>
  <si>
    <t>Ben</t>
  </si>
  <si>
    <t>Colin</t>
  </si>
  <si>
    <t>Calvin</t>
  </si>
  <si>
    <t>Makuna</t>
  </si>
  <si>
    <t>Janith</t>
  </si>
  <si>
    <t>Dian</t>
  </si>
  <si>
    <t>Katy</t>
  </si>
  <si>
    <t>Rodney</t>
  </si>
  <si>
    <t>Alyssa</t>
  </si>
  <si>
    <t>Sandy</t>
  </si>
  <si>
    <t>Evangelista</t>
  </si>
  <si>
    <t>Judith</t>
  </si>
  <si>
    <t>Merisca</t>
  </si>
  <si>
    <t>Selena</t>
  </si>
  <si>
    <t>Lydia</t>
  </si>
  <si>
    <t>Claude</t>
  </si>
  <si>
    <t>Duane</t>
  </si>
  <si>
    <t>Suheylee</t>
  </si>
  <si>
    <t>Teresita</t>
  </si>
  <si>
    <t>Dale</t>
  </si>
  <si>
    <t>Julianne</t>
  </si>
  <si>
    <t>Aquanetta</t>
  </si>
  <si>
    <t>Wilmer</t>
  </si>
  <si>
    <t>Deidre</t>
  </si>
  <si>
    <t>Lester</t>
  </si>
  <si>
    <t>Monique</t>
  </si>
  <si>
    <t>Vaughn</t>
  </si>
  <si>
    <t>Rob</t>
  </si>
  <si>
    <t>Gabriella</t>
  </si>
  <si>
    <t>Shawn</t>
  </si>
  <si>
    <t>Shiba</t>
  </si>
  <si>
    <t>Nydia</t>
  </si>
  <si>
    <t>Sing Hang</t>
  </si>
  <si>
    <t>Marc</t>
  </si>
  <si>
    <t>Kayla</t>
  </si>
  <si>
    <t>Bryan</t>
  </si>
  <si>
    <t>William</t>
  </si>
  <si>
    <t>Kristen</t>
  </si>
  <si>
    <t>Barton</t>
  </si>
  <si>
    <t>Eric</t>
  </si>
  <si>
    <t>Bilan</t>
  </si>
  <si>
    <t>Maryline</t>
  </si>
  <si>
    <t>Nedra</t>
  </si>
  <si>
    <t>Emily</t>
  </si>
  <si>
    <t>Jorinda</t>
  </si>
  <si>
    <t>Halima</t>
  </si>
  <si>
    <t>Dara</t>
  </si>
  <si>
    <t>Robinson</t>
  </si>
  <si>
    <t>Rodgers</t>
  </si>
  <si>
    <t>Adams</t>
  </si>
  <si>
    <t>Tejada</t>
  </si>
  <si>
    <t>King</t>
  </si>
  <si>
    <t>Burton</t>
  </si>
  <si>
    <t>Williams</t>
  </si>
  <si>
    <t>Felton</t>
  </si>
  <si>
    <t>Choudhury</t>
  </si>
  <si>
    <t>Suarez</t>
  </si>
  <si>
    <t>Persaud</t>
  </si>
  <si>
    <t>Resmin</t>
  </si>
  <si>
    <t>Sukhdeo</t>
  </si>
  <si>
    <t>Valle</t>
  </si>
  <si>
    <t>Ansbro-Saghirashvili</t>
  </si>
  <si>
    <t>Stewart</t>
  </si>
  <si>
    <t>Balletta</t>
  </si>
  <si>
    <t>Narcisse</t>
  </si>
  <si>
    <t>Jackson</t>
  </si>
  <si>
    <t>Hernandez</t>
  </si>
  <si>
    <t>Singleton</t>
  </si>
  <si>
    <t>Medina</t>
  </si>
  <si>
    <t>Black</t>
  </si>
  <si>
    <t>Van Benschoten</t>
  </si>
  <si>
    <t>Buckley</t>
  </si>
  <si>
    <t>Griffith</t>
  </si>
  <si>
    <t>Somorin</t>
  </si>
  <si>
    <t>Hunte</t>
  </si>
  <si>
    <t>Coletta</t>
  </si>
  <si>
    <t>Santos</t>
  </si>
  <si>
    <t>Carbonell</t>
  </si>
  <si>
    <t>Manning</t>
  </si>
  <si>
    <t>O'Donoghue</t>
  </si>
  <si>
    <t>Brown</t>
  </si>
  <si>
    <t>Butler</t>
  </si>
  <si>
    <t>Adesanya</t>
  </si>
  <si>
    <t>Amankwah</t>
  </si>
  <si>
    <t>Mullin</t>
  </si>
  <si>
    <t>Reese</t>
  </si>
  <si>
    <t>Torres</t>
  </si>
  <si>
    <t>Zambrana</t>
  </si>
  <si>
    <t>Skeete</t>
  </si>
  <si>
    <t>Sykes</t>
  </si>
  <si>
    <t>Calderon</t>
  </si>
  <si>
    <t>Gorham</t>
  </si>
  <si>
    <t>Faison</t>
  </si>
  <si>
    <t>Fogarty</t>
  </si>
  <si>
    <t>Violani</t>
  </si>
  <si>
    <t>Vogel</t>
  </si>
  <si>
    <t>Sudin</t>
  </si>
  <si>
    <t>Oseid</t>
  </si>
  <si>
    <t>Creighton</t>
  </si>
  <si>
    <t>Pompey</t>
  </si>
  <si>
    <t>Bishop</t>
  </si>
  <si>
    <t>Brazell</t>
  </si>
  <si>
    <t>Matthews</t>
  </si>
  <si>
    <t>Walkes</t>
  </si>
  <si>
    <t>De La Cruz</t>
  </si>
  <si>
    <t>Khatib</t>
  </si>
  <si>
    <t>White</t>
  </si>
  <si>
    <t>Boyko</t>
  </si>
  <si>
    <t>Jones</t>
  </si>
  <si>
    <t>Sepuya</t>
  </si>
  <si>
    <t>Sepulveda</t>
  </si>
  <si>
    <t>Wynn</t>
  </si>
  <si>
    <t>Cruz</t>
  </si>
  <si>
    <t>Taylor</t>
  </si>
  <si>
    <t>Zhou</t>
  </si>
  <si>
    <t>Salaman</t>
  </si>
  <si>
    <t>Flores</t>
  </si>
  <si>
    <t>Camacho</t>
  </si>
  <si>
    <t>Lliguichuzhca</t>
  </si>
  <si>
    <t>Laboy</t>
  </si>
  <si>
    <t>Solis</t>
  </si>
  <si>
    <t>Thompson</t>
  </si>
  <si>
    <t>Carbucia</t>
  </si>
  <si>
    <t>Morabito</t>
  </si>
  <si>
    <t>Abuzahrieh</t>
  </si>
  <si>
    <t>Zeitler</t>
  </si>
  <si>
    <t>Ali</t>
  </si>
  <si>
    <t>McShane</t>
  </si>
  <si>
    <t>Avelino</t>
  </si>
  <si>
    <t>Herrera</t>
  </si>
  <si>
    <t>Nolan</t>
  </si>
  <si>
    <t>Embry</t>
  </si>
  <si>
    <t>Gaston-Alaoui</t>
  </si>
  <si>
    <t>Fulendorf</t>
  </si>
  <si>
    <t>Martin Diaz</t>
  </si>
  <si>
    <t>Wynns</t>
  </si>
  <si>
    <t>Pena</t>
  </si>
  <si>
    <t>Montes De Oca</t>
  </si>
  <si>
    <t>Morales</t>
  </si>
  <si>
    <t>Solano</t>
  </si>
  <si>
    <t>Ithier</t>
  </si>
  <si>
    <t>Reyes Fernandez</t>
  </si>
  <si>
    <t>Fernandez</t>
  </si>
  <si>
    <t>Peng</t>
  </si>
  <si>
    <t>Pacht</t>
  </si>
  <si>
    <t>Rolon</t>
  </si>
  <si>
    <t>Morillo</t>
  </si>
  <si>
    <t>Santini</t>
  </si>
  <si>
    <t>Lee</t>
  </si>
  <si>
    <t>Feliciano</t>
  </si>
  <si>
    <t>Lucas</t>
  </si>
  <si>
    <t>Elmore</t>
  </si>
  <si>
    <t>Grimes</t>
  </si>
  <si>
    <t>Spencer</t>
  </si>
  <si>
    <t>Smith</t>
  </si>
  <si>
    <t>Arias</t>
  </si>
  <si>
    <t>Aquino</t>
  </si>
  <si>
    <t>Diallo</t>
  </si>
  <si>
    <t>Santiago</t>
  </si>
  <si>
    <t>Patterson</t>
  </si>
  <si>
    <t>Febus</t>
  </si>
  <si>
    <t>Banovich</t>
  </si>
  <si>
    <t>Del Pilar Cabrera</t>
  </si>
  <si>
    <t>Gomez</t>
  </si>
  <si>
    <t>Rodriguez</t>
  </si>
  <si>
    <t>Boston</t>
  </si>
  <si>
    <t>Modesto</t>
  </si>
  <si>
    <t>Joubert</t>
  </si>
  <si>
    <t>De Rojas</t>
  </si>
  <si>
    <t>Nicolas</t>
  </si>
  <si>
    <t>Handy</t>
  </si>
  <si>
    <t>Hong</t>
  </si>
  <si>
    <t>Obie</t>
  </si>
  <si>
    <t>Lane</t>
  </si>
  <si>
    <t>May</t>
  </si>
  <si>
    <t>Costa</t>
  </si>
  <si>
    <t>Donoso</t>
  </si>
  <si>
    <t>Kelly</t>
  </si>
  <si>
    <t>Ortiz</t>
  </si>
  <si>
    <t>Inoa</t>
  </si>
  <si>
    <t>Velez</t>
  </si>
  <si>
    <t>Tyrell</t>
  </si>
  <si>
    <t>Santiesteban</t>
  </si>
  <si>
    <t>Santana</t>
  </si>
  <si>
    <t>Felder</t>
  </si>
  <si>
    <t>Ventura</t>
  </si>
  <si>
    <t>Palermo</t>
  </si>
  <si>
    <t>Tucker</t>
  </si>
  <si>
    <t>Davila</t>
  </si>
  <si>
    <t>Perez</t>
  </si>
  <si>
    <t>Kinsey</t>
  </si>
  <si>
    <t>Bannister</t>
  </si>
  <si>
    <t>Johnson</t>
  </si>
  <si>
    <t>Walker</t>
  </si>
  <si>
    <t>Allen</t>
  </si>
  <si>
    <t>Cameron</t>
  </si>
  <si>
    <t>Deleon</t>
  </si>
  <si>
    <t>Akter</t>
  </si>
  <si>
    <t>Salaam</t>
  </si>
  <si>
    <t>Merced</t>
  </si>
  <si>
    <t>Almeida</t>
  </si>
  <si>
    <t>Skinner</t>
  </si>
  <si>
    <t>Valentine</t>
  </si>
  <si>
    <t>Mullings</t>
  </si>
  <si>
    <t>Ferguson</t>
  </si>
  <si>
    <t>Silva</t>
  </si>
  <si>
    <t>Sumler</t>
  </si>
  <si>
    <t>Barrett</t>
  </si>
  <si>
    <t>Klewicki</t>
  </si>
  <si>
    <t>Kunene</t>
  </si>
  <si>
    <t>Jimenez</t>
  </si>
  <si>
    <t>Romano</t>
  </si>
  <si>
    <t>Marti</t>
  </si>
  <si>
    <t>Sanchez</t>
  </si>
  <si>
    <t>Browne</t>
  </si>
  <si>
    <t>Pacifico</t>
  </si>
  <si>
    <t>Cabrera</t>
  </si>
  <si>
    <t>Segal</t>
  </si>
  <si>
    <t>Fofana</t>
  </si>
  <si>
    <t>Cumba</t>
  </si>
  <si>
    <t>Quespaz</t>
  </si>
  <si>
    <t>Brooks</t>
  </si>
  <si>
    <t>Barlon</t>
  </si>
  <si>
    <t>Slew</t>
  </si>
  <si>
    <t>Mojica</t>
  </si>
  <si>
    <t>Jackman</t>
  </si>
  <si>
    <t>Royer</t>
  </si>
  <si>
    <t>Bell</t>
  </si>
  <si>
    <t>Frazier</t>
  </si>
  <si>
    <t>Meracdo</t>
  </si>
  <si>
    <t>Engesser</t>
  </si>
  <si>
    <t>Diaz</t>
  </si>
  <si>
    <t>Shaw</t>
  </si>
  <si>
    <t>Briggs</t>
  </si>
  <si>
    <t>Hidalgo</t>
  </si>
  <si>
    <t>Piper</t>
  </si>
  <si>
    <t>Reyes</t>
  </si>
  <si>
    <t>Aristomene</t>
  </si>
  <si>
    <t>Dodard</t>
  </si>
  <si>
    <t>Hill</t>
  </si>
  <si>
    <t>Toste</t>
  </si>
  <si>
    <t>Carbajal</t>
  </si>
  <si>
    <t>Bean</t>
  </si>
  <si>
    <t>Gallagher</t>
  </si>
  <si>
    <t>Tarantola</t>
  </si>
  <si>
    <t>Pinero</t>
  </si>
  <si>
    <t>Cochran</t>
  </si>
  <si>
    <t>Elharras</t>
  </si>
  <si>
    <t>Haque</t>
  </si>
  <si>
    <t>Tavarez</t>
  </si>
  <si>
    <t>Nesbitt</t>
  </si>
  <si>
    <t>Burgess</t>
  </si>
  <si>
    <t>Jean-Simon</t>
  </si>
  <si>
    <t>Cuatle</t>
  </si>
  <si>
    <t>McDowell-Butts</t>
  </si>
  <si>
    <t>Galvez</t>
  </si>
  <si>
    <t>Mayo</t>
  </si>
  <si>
    <t>Fleming</t>
  </si>
  <si>
    <t>Veras</t>
  </si>
  <si>
    <t>Ifill</t>
  </si>
  <si>
    <t>Batista</t>
  </si>
  <si>
    <t>Phillips</t>
  </si>
  <si>
    <t>Allford</t>
  </si>
  <si>
    <t>De Luna</t>
  </si>
  <si>
    <t>Wilson</t>
  </si>
  <si>
    <t>Rivera</t>
  </si>
  <si>
    <t>Estrella</t>
  </si>
  <si>
    <t>Cabrera Guzman</t>
  </si>
  <si>
    <t>Melendez</t>
  </si>
  <si>
    <t>Romero</t>
  </si>
  <si>
    <t>Mendoza</t>
  </si>
  <si>
    <t>Guzman</t>
  </si>
  <si>
    <t>Lyons</t>
  </si>
  <si>
    <t>Amaro</t>
  </si>
  <si>
    <t>Fenton</t>
  </si>
  <si>
    <t>Bernal</t>
  </si>
  <si>
    <t>Paca</t>
  </si>
  <si>
    <t>Hanes</t>
  </si>
  <si>
    <t>Dargan</t>
  </si>
  <si>
    <t>Rivas</t>
  </si>
  <si>
    <t>Trotman</t>
  </si>
  <si>
    <t>Segura</t>
  </si>
  <si>
    <t>Pineda</t>
  </si>
  <si>
    <t>Channa</t>
  </si>
  <si>
    <t>Gay Campbell</t>
  </si>
  <si>
    <t>Osman</t>
  </si>
  <si>
    <t>Francis</t>
  </si>
  <si>
    <t>Delaine</t>
  </si>
  <si>
    <t>Isidoro</t>
  </si>
  <si>
    <t>Cardona</t>
  </si>
  <si>
    <t>Dowdell</t>
  </si>
  <si>
    <t>Checo</t>
  </si>
  <si>
    <t>Almonte</t>
  </si>
  <si>
    <t>Sawh</t>
  </si>
  <si>
    <t>Baltazer</t>
  </si>
  <si>
    <t>Canela</t>
  </si>
  <si>
    <t>Marrero</t>
  </si>
  <si>
    <t>Newkirk</t>
  </si>
  <si>
    <t>Pierre</t>
  </si>
  <si>
    <t>Peres</t>
  </si>
  <si>
    <t>Saint Louis</t>
  </si>
  <si>
    <t>Gonzalez</t>
  </si>
  <si>
    <t>Duncan</t>
  </si>
  <si>
    <t>Elias</t>
  </si>
  <si>
    <t>Lewis</t>
  </si>
  <si>
    <t>Polk</t>
  </si>
  <si>
    <t>Martinez</t>
  </si>
  <si>
    <t>Waiters</t>
  </si>
  <si>
    <t>Vidal</t>
  </si>
  <si>
    <t>Banks</t>
  </si>
  <si>
    <t>Calise</t>
  </si>
  <si>
    <t>Zollo</t>
  </si>
  <si>
    <t>Ramos</t>
  </si>
  <si>
    <t>Salinas</t>
  </si>
  <si>
    <t>Dejesus</t>
  </si>
  <si>
    <t>Enriquez</t>
  </si>
  <si>
    <t>Evans</t>
  </si>
  <si>
    <t>Bossa -Venecia</t>
  </si>
  <si>
    <t>Burrows</t>
  </si>
  <si>
    <t>Brathwaite</t>
  </si>
  <si>
    <t>Panama</t>
  </si>
  <si>
    <t>Daley</t>
  </si>
  <si>
    <t>Fermin</t>
  </si>
  <si>
    <t>Darby</t>
  </si>
  <si>
    <t>Moronta</t>
  </si>
  <si>
    <t>Ward</t>
  </si>
  <si>
    <t>Falconi</t>
  </si>
  <si>
    <t>Mirla</t>
  </si>
  <si>
    <t>Rojas</t>
  </si>
  <si>
    <t>Diatta</t>
  </si>
  <si>
    <t>Franco-Delawrence</t>
  </si>
  <si>
    <t>Suru</t>
  </si>
  <si>
    <t>Hayslett</t>
  </si>
  <si>
    <t>Reeves</t>
  </si>
  <si>
    <t>Vanwagoner</t>
  </si>
  <si>
    <t>Colon</t>
  </si>
  <si>
    <t>Villanueva</t>
  </si>
  <si>
    <t>Richardson</t>
  </si>
  <si>
    <t>Best</t>
  </si>
  <si>
    <t>Falu</t>
  </si>
  <si>
    <t>Sullivan</t>
  </si>
  <si>
    <t>Salomon</t>
  </si>
  <si>
    <t>Gil Abreu</t>
  </si>
  <si>
    <t>Despinosse</t>
  </si>
  <si>
    <t>Curley</t>
  </si>
  <si>
    <t>Bonner</t>
  </si>
  <si>
    <t xml:space="preserve">Ruby </t>
  </si>
  <si>
    <t>Ruiz</t>
  </si>
  <si>
    <t>Cepeda</t>
  </si>
  <si>
    <t>Hillman</t>
  </si>
  <si>
    <t>Adodo-Addeh</t>
  </si>
  <si>
    <t>Durandisse</t>
  </si>
  <si>
    <t>Willson</t>
  </si>
  <si>
    <t>Jarrell</t>
  </si>
  <si>
    <t>Meza</t>
  </si>
  <si>
    <t>Porro</t>
  </si>
  <si>
    <t>Aleman</t>
  </si>
  <si>
    <t>Mortimer</t>
  </si>
  <si>
    <t>Saffore</t>
  </si>
  <si>
    <t>Lumchan</t>
  </si>
  <si>
    <t>Duesbury</t>
  </si>
  <si>
    <t>Love</t>
  </si>
  <si>
    <t>Zarzuela</t>
  </si>
  <si>
    <t>Rotger</t>
  </si>
  <si>
    <t>Kruglova</t>
  </si>
  <si>
    <t>Bailey</t>
  </si>
  <si>
    <t>Cervantes</t>
  </si>
  <si>
    <t>DE ROSARIO</t>
  </si>
  <si>
    <t>Griffin</t>
  </si>
  <si>
    <t>Lopes Malave</t>
  </si>
  <si>
    <t>Woody</t>
  </si>
  <si>
    <t>Statuto</t>
  </si>
  <si>
    <t>Matos</t>
  </si>
  <si>
    <t>McCants</t>
  </si>
  <si>
    <t>Durham</t>
  </si>
  <si>
    <t>Harris</t>
  </si>
  <si>
    <t>Hilario</t>
  </si>
  <si>
    <t>Castro</t>
  </si>
  <si>
    <t>Moya</t>
  </si>
  <si>
    <t>Acosta</t>
  </si>
  <si>
    <t>Plowden</t>
  </si>
  <si>
    <t>watson</t>
  </si>
  <si>
    <t>Brito</t>
  </si>
  <si>
    <t>Coleman</t>
  </si>
  <si>
    <t>Rushmore</t>
  </si>
  <si>
    <t>Quispe</t>
  </si>
  <si>
    <t>Wesley</t>
  </si>
  <si>
    <t>Reid</t>
  </si>
  <si>
    <t>Ofulue</t>
  </si>
  <si>
    <t>Gaskin</t>
  </si>
  <si>
    <t>Lemson</t>
  </si>
  <si>
    <t>Treitedny</t>
  </si>
  <si>
    <t>McClendon</t>
  </si>
  <si>
    <t>Denis</t>
  </si>
  <si>
    <t>Novak</t>
  </si>
  <si>
    <t>Washington</t>
  </si>
  <si>
    <t>Clemencia</t>
  </si>
  <si>
    <t>Greene</t>
  </si>
  <si>
    <t>Ajumobi-Obe</t>
  </si>
  <si>
    <t>Aristyl</t>
  </si>
  <si>
    <t>Davis</t>
  </si>
  <si>
    <t>Wong</t>
  </si>
  <si>
    <t>Chavez</t>
  </si>
  <si>
    <t>Paulino</t>
  </si>
  <si>
    <t>Cantos</t>
  </si>
  <si>
    <t>Cendena</t>
  </si>
  <si>
    <t>Ramirez</t>
  </si>
  <si>
    <t>Montano</t>
  </si>
  <si>
    <t>Taveras</t>
  </si>
  <si>
    <t>Sims</t>
  </si>
  <si>
    <t>Yancey</t>
  </si>
  <si>
    <t>Stackhouse</t>
  </si>
  <si>
    <t>Calcano</t>
  </si>
  <si>
    <t>Cornielle</t>
  </si>
  <si>
    <t>Snipes</t>
  </si>
  <si>
    <t>Reynoso</t>
  </si>
  <si>
    <t>Espinosa</t>
  </si>
  <si>
    <t>Figueroa</t>
  </si>
  <si>
    <t>De Fran</t>
  </si>
  <si>
    <t>Garcia- Marte</t>
  </si>
  <si>
    <t>Vecchione</t>
  </si>
  <si>
    <t>Duran</t>
  </si>
  <si>
    <t>Dupree</t>
  </si>
  <si>
    <t>Guido</t>
  </si>
  <si>
    <t>Ortega</t>
  </si>
  <si>
    <t>Gonell</t>
  </si>
  <si>
    <t>Doolen</t>
  </si>
  <si>
    <t>Jacobsen</t>
  </si>
  <si>
    <t>Simo</t>
  </si>
  <si>
    <t>Espinal</t>
  </si>
  <si>
    <t>Murphy</t>
  </si>
  <si>
    <t>Acevedo</t>
  </si>
  <si>
    <t>DelCarmen</t>
  </si>
  <si>
    <t>Osorio</t>
  </si>
  <si>
    <t>Joa</t>
  </si>
  <si>
    <t>Wanko</t>
  </si>
  <si>
    <t>Miranda</t>
  </si>
  <si>
    <t>Lindo</t>
  </si>
  <si>
    <t>Alston</t>
  </si>
  <si>
    <t>Britton</t>
  </si>
  <si>
    <t>Hicks</t>
  </si>
  <si>
    <t>Belches</t>
  </si>
  <si>
    <t>Punuela</t>
  </si>
  <si>
    <t>Brea</t>
  </si>
  <si>
    <t>Grant</t>
  </si>
  <si>
    <t>Ospina</t>
  </si>
  <si>
    <t>Valentin</t>
  </si>
  <si>
    <t>Dhanraj Smith</t>
  </si>
  <si>
    <t>Ponce</t>
  </si>
  <si>
    <t>Vallejo</t>
  </si>
  <si>
    <t>Bestman</t>
  </si>
  <si>
    <t>Bracy</t>
  </si>
  <si>
    <t>Murillo</t>
  </si>
  <si>
    <t>Baker</t>
  </si>
  <si>
    <t>Tsimaras</t>
  </si>
  <si>
    <t>Lemelin</t>
  </si>
  <si>
    <t>Pizicas</t>
  </si>
  <si>
    <t>Castineirs</t>
  </si>
  <si>
    <t>Tomala</t>
  </si>
  <si>
    <t>Duwhite</t>
  </si>
  <si>
    <t>Werts</t>
  </si>
  <si>
    <t>Bozek</t>
  </si>
  <si>
    <t>Berrios</t>
  </si>
  <si>
    <t>Foster</t>
  </si>
  <si>
    <t>Stuckey</t>
  </si>
  <si>
    <t>Gardner</t>
  </si>
  <si>
    <t>Bautista</t>
  </si>
  <si>
    <t>Javier</t>
  </si>
  <si>
    <t>Zhang</t>
  </si>
  <si>
    <t>Chen</t>
  </si>
  <si>
    <t>Romain</t>
  </si>
  <si>
    <t>Carrasco</t>
  </si>
  <si>
    <t>McNeill</t>
  </si>
  <si>
    <t>Adlam</t>
  </si>
  <si>
    <t>Alvarez</t>
  </si>
  <si>
    <t>Moore</t>
  </si>
  <si>
    <t>Peralta</t>
  </si>
  <si>
    <t>Lindsey</t>
  </si>
  <si>
    <t>Marizan</t>
  </si>
  <si>
    <t>Rondon</t>
  </si>
  <si>
    <t>Grayson</t>
  </si>
  <si>
    <t>Dennis</t>
  </si>
  <si>
    <t>Saravia</t>
  </si>
  <si>
    <t>Kirama</t>
  </si>
  <si>
    <t>Jose Rosado</t>
  </si>
  <si>
    <t>Robles</t>
  </si>
  <si>
    <t>Zou</t>
  </si>
  <si>
    <t>de Souza-King</t>
  </si>
  <si>
    <t>Gittens</t>
  </si>
  <si>
    <t>Baldayac</t>
  </si>
  <si>
    <t>Toribio</t>
  </si>
  <si>
    <t>Choe</t>
  </si>
  <si>
    <t>Trujillo</t>
  </si>
  <si>
    <t>Stubbs</t>
  </si>
  <si>
    <t>Waithe</t>
  </si>
  <si>
    <t>Ashwood</t>
  </si>
  <si>
    <t>Sandoval</t>
  </si>
  <si>
    <t>Jalloh</t>
  </si>
  <si>
    <t>Urena</t>
  </si>
  <si>
    <t>Covington</t>
  </si>
  <si>
    <t>Abdu-Shahid</t>
  </si>
  <si>
    <t>Sajery</t>
  </si>
  <si>
    <t>Augustus</t>
  </si>
  <si>
    <t>Bethea</t>
  </si>
  <si>
    <t>Price</t>
  </si>
  <si>
    <t>Sultana</t>
  </si>
  <si>
    <t>Musillo</t>
  </si>
  <si>
    <t>Uriel</t>
  </si>
  <si>
    <t>Solis Verdesoto</t>
  </si>
  <si>
    <t>Berkeley</t>
  </si>
  <si>
    <t>Polanco</t>
  </si>
  <si>
    <t>Orta</t>
  </si>
  <si>
    <t>Huitzil Paleta</t>
  </si>
  <si>
    <t>McLawrence</t>
  </si>
  <si>
    <t>Azanero</t>
  </si>
  <si>
    <t>Oropeza</t>
  </si>
  <si>
    <t>Grullon Pena</t>
  </si>
  <si>
    <t>Knight</t>
  </si>
  <si>
    <t>Novas</t>
  </si>
  <si>
    <t>Mena Paulino</t>
  </si>
  <si>
    <t>Varela</t>
  </si>
  <si>
    <t>Deoleo</t>
  </si>
  <si>
    <t>McCarthy</t>
  </si>
  <si>
    <t>Tejeda</t>
  </si>
  <si>
    <t>Cheeks</t>
  </si>
  <si>
    <t>Weekes</t>
  </si>
  <si>
    <t>Padilla</t>
  </si>
  <si>
    <t>Inciarrano</t>
  </si>
  <si>
    <t>Moreno</t>
  </si>
  <si>
    <t>Abreu</t>
  </si>
  <si>
    <t>Bouzid</t>
  </si>
  <si>
    <t>An</t>
  </si>
  <si>
    <t>Leget</t>
  </si>
  <si>
    <t>Pimentel</t>
  </si>
  <si>
    <t>Wells</t>
  </si>
  <si>
    <t>Franco</t>
  </si>
  <si>
    <t>Luces</t>
  </si>
  <si>
    <t>Pacheco</t>
  </si>
  <si>
    <t>Macias</t>
  </si>
  <si>
    <t>Nurse</t>
  </si>
  <si>
    <t>Quezada</t>
  </si>
  <si>
    <t>Tweel</t>
  </si>
  <si>
    <t>Pestano</t>
  </si>
  <si>
    <t>Benitez</t>
  </si>
  <si>
    <t>Campbell</t>
  </si>
  <si>
    <t>Salcedo</t>
  </si>
  <si>
    <t>Ledesma</t>
  </si>
  <si>
    <t>Cheuque</t>
  </si>
  <si>
    <t>Lin</t>
  </si>
  <si>
    <t>Salazar</t>
  </si>
  <si>
    <t>Ortiz-Paulino</t>
  </si>
  <si>
    <t>Baptiste</t>
  </si>
  <si>
    <t>Portella</t>
  </si>
  <si>
    <t>Weinstein</t>
  </si>
  <si>
    <t>Fletcher</t>
  </si>
  <si>
    <t>Crowder</t>
  </si>
  <si>
    <t>Nunez</t>
  </si>
  <si>
    <t>Caquias Ramos</t>
  </si>
  <si>
    <t>Yakubov</t>
  </si>
  <si>
    <t>Pagan</t>
  </si>
  <si>
    <t>Swartzon</t>
  </si>
  <si>
    <t>Bedoya</t>
  </si>
  <si>
    <t>Wilkinson</t>
  </si>
  <si>
    <t>Tates</t>
  </si>
  <si>
    <t>Miller</t>
  </si>
  <si>
    <t>Rahman</t>
  </si>
  <si>
    <t>Pichardo</t>
  </si>
  <si>
    <t>Eshkenazi</t>
  </si>
  <si>
    <t>Simon</t>
  </si>
  <si>
    <t>Hargett</t>
  </si>
  <si>
    <t>Collins</t>
  </si>
  <si>
    <t>Salas</t>
  </si>
  <si>
    <t>Ahamed</t>
  </si>
  <si>
    <t>Malu</t>
  </si>
  <si>
    <t>Hichez Medina</t>
  </si>
  <si>
    <t>Rolling</t>
  </si>
  <si>
    <t>Furs</t>
  </si>
  <si>
    <t>Riley</t>
  </si>
  <si>
    <t>Soriano</t>
  </si>
  <si>
    <t>Boylan</t>
  </si>
  <si>
    <t>Piedrahita</t>
  </si>
  <si>
    <t>De Los Santos</t>
  </si>
  <si>
    <t>Henry</t>
  </si>
  <si>
    <t>Poteat</t>
  </si>
  <si>
    <t>Soskind</t>
  </si>
  <si>
    <t>Schaller</t>
  </si>
  <si>
    <t>Medrano</t>
  </si>
  <si>
    <t>Guerrero</t>
  </si>
  <si>
    <t>Wainwright</t>
  </si>
  <si>
    <t>Bookman</t>
  </si>
  <si>
    <t>Vaca</t>
  </si>
  <si>
    <t>Morningstar</t>
  </si>
  <si>
    <t>Molina</t>
  </si>
  <si>
    <t>Sayers Joseph</t>
  </si>
  <si>
    <t>Emanuel</t>
  </si>
  <si>
    <t>Gambino</t>
  </si>
  <si>
    <t>Christmas</t>
  </si>
  <si>
    <t>Fabian</t>
  </si>
  <si>
    <t>Mims</t>
  </si>
  <si>
    <t>Colinet</t>
  </si>
  <si>
    <t>Rock</t>
  </si>
  <si>
    <t>Rosquist</t>
  </si>
  <si>
    <t>Owolabi</t>
  </si>
  <si>
    <t>Scott-Biris</t>
  </si>
  <si>
    <t>Coronel</t>
  </si>
  <si>
    <t>Hazell</t>
  </si>
  <si>
    <t>Silva Sideris</t>
  </si>
  <si>
    <t>Silverio</t>
  </si>
  <si>
    <t>Jean-Pierre</t>
  </si>
  <si>
    <t>Almestica</t>
  </si>
  <si>
    <t>Lynch</t>
  </si>
  <si>
    <t>Cuesta-Guiffre</t>
  </si>
  <si>
    <t>Farrell</t>
  </si>
  <si>
    <t>Henriquez</t>
  </si>
  <si>
    <t>Elvy</t>
  </si>
  <si>
    <t>Huerta</t>
  </si>
  <si>
    <t>Dillman</t>
  </si>
  <si>
    <t>Wikstrom</t>
  </si>
  <si>
    <t>Khan</t>
  </si>
  <si>
    <t>Weiner</t>
  </si>
  <si>
    <t>Swaray</t>
  </si>
  <si>
    <t>Robletto</t>
  </si>
  <si>
    <t>Carrington</t>
  </si>
  <si>
    <t>Vicidomini</t>
  </si>
  <si>
    <t>Chatman</t>
  </si>
  <si>
    <t>Parker</t>
  </si>
  <si>
    <t>Cadet</t>
  </si>
  <si>
    <t>Spielmann</t>
  </si>
  <si>
    <t>England</t>
  </si>
  <si>
    <t>Fiallos</t>
  </si>
  <si>
    <t>Chowdhury</t>
  </si>
  <si>
    <t>Thompson-Dean Bailey</t>
  </si>
  <si>
    <t>Izquierdo</t>
  </si>
  <si>
    <t>Cordero</t>
  </si>
  <si>
    <t>Estrada</t>
  </si>
  <si>
    <t>Portuondo</t>
  </si>
  <si>
    <t>Valverde</t>
  </si>
  <si>
    <t>Nassar</t>
  </si>
  <si>
    <t>Companzano</t>
  </si>
  <si>
    <t>Lopez</t>
  </si>
  <si>
    <t>Pickens</t>
  </si>
  <si>
    <t>Sankar</t>
  </si>
  <si>
    <t>Estevez</t>
  </si>
  <si>
    <t>Hierro</t>
  </si>
  <si>
    <t>Barfield</t>
  </si>
  <si>
    <t>Bragg</t>
  </si>
  <si>
    <t>D'Orazio</t>
  </si>
  <si>
    <t>Randolph</t>
  </si>
  <si>
    <t>Hooks</t>
  </si>
  <si>
    <t>Hailstalk</t>
  </si>
  <si>
    <t>Grate</t>
  </si>
  <si>
    <t>Dobbelaere</t>
  </si>
  <si>
    <t>Mazara</t>
  </si>
  <si>
    <t>Blake</t>
  </si>
  <si>
    <t>Dor</t>
  </si>
  <si>
    <t>DelRio</t>
  </si>
  <si>
    <t>Nazario</t>
  </si>
  <si>
    <t>De la Rosa</t>
  </si>
  <si>
    <t>Fitzgerald</t>
  </si>
  <si>
    <t>Korostyshevskiy</t>
  </si>
  <si>
    <t>Luciano</t>
  </si>
  <si>
    <t>Clare</t>
  </si>
  <si>
    <t>Hayes</t>
  </si>
  <si>
    <t>Storms</t>
  </si>
  <si>
    <t>Cano</t>
  </si>
  <si>
    <t>Holland Upsher</t>
  </si>
  <si>
    <t>Cousins</t>
  </si>
  <si>
    <t>Singley</t>
  </si>
  <si>
    <t>Burke</t>
  </si>
  <si>
    <t>Cribillero</t>
  </si>
  <si>
    <t>Miner</t>
  </si>
  <si>
    <t>Heslin</t>
  </si>
  <si>
    <t>Coello</t>
  </si>
  <si>
    <t>Seymore</t>
  </si>
  <si>
    <t>Navarro</t>
  </si>
  <si>
    <t>Luna</t>
  </si>
  <si>
    <t>Marte</t>
  </si>
  <si>
    <t>Fallah</t>
  </si>
  <si>
    <t>Gillen</t>
  </si>
  <si>
    <t>Stephen</t>
  </si>
  <si>
    <t>Berra</t>
  </si>
  <si>
    <t>Sidorovich</t>
  </si>
  <si>
    <t>Palmer</t>
  </si>
  <si>
    <t>Watkins</t>
  </si>
  <si>
    <t>Wright</t>
  </si>
  <si>
    <t>St. Louis</t>
  </si>
  <si>
    <t>Weber</t>
  </si>
  <si>
    <t>Brewer</t>
  </si>
  <si>
    <t>Allums</t>
  </si>
  <si>
    <t>Cumberbatch</t>
  </si>
  <si>
    <t>Maura</t>
  </si>
  <si>
    <t>Hogan</t>
  </si>
  <si>
    <t>Vanible</t>
  </si>
  <si>
    <t>Rosas-Mejia</t>
  </si>
  <si>
    <t>Poirier</t>
  </si>
  <si>
    <t>Ganz</t>
  </si>
  <si>
    <t>Quinones</t>
  </si>
  <si>
    <t>Lara</t>
  </si>
  <si>
    <t>Clemons</t>
  </si>
  <si>
    <t>Islam</t>
  </si>
  <si>
    <t>Ma</t>
  </si>
  <si>
    <t>Lotmore</t>
  </si>
  <si>
    <t>Summers</t>
  </si>
  <si>
    <t>Rodriguez Rodado</t>
  </si>
  <si>
    <t>Basile</t>
  </si>
  <si>
    <t>Acosta-De la Cruz</t>
  </si>
  <si>
    <t>Lowery</t>
  </si>
  <si>
    <t>Caraballo</t>
  </si>
  <si>
    <t>Morain</t>
  </si>
  <si>
    <t>Ogutu</t>
  </si>
  <si>
    <t>Ellis</t>
  </si>
  <si>
    <t>Eady</t>
  </si>
  <si>
    <t>Fernanadez</t>
  </si>
  <si>
    <t>Edwards</t>
  </si>
  <si>
    <t>Matty</t>
  </si>
  <si>
    <t>Gibson</t>
  </si>
  <si>
    <t>Conway</t>
  </si>
  <si>
    <t>Santorelli</t>
  </si>
  <si>
    <t>Jordan</t>
  </si>
  <si>
    <t>Crayton</t>
  </si>
  <si>
    <t>Cancel</t>
  </si>
  <si>
    <t>Zarate</t>
  </si>
  <si>
    <t>Khanam</t>
  </si>
  <si>
    <t>Williamson</t>
  </si>
  <si>
    <t>Morrison</t>
  </si>
  <si>
    <t>Crawford</t>
  </si>
  <si>
    <t>Chavis</t>
  </si>
  <si>
    <t>Middleton</t>
  </si>
  <si>
    <t>Hucey</t>
  </si>
  <si>
    <t>Adames</t>
  </si>
  <si>
    <t>Donaldson</t>
  </si>
  <si>
    <t>Hinton</t>
  </si>
  <si>
    <t>Altamirano</t>
  </si>
  <si>
    <t>Blanc</t>
  </si>
  <si>
    <t>Speller</t>
  </si>
  <si>
    <t>Sanders</t>
  </si>
  <si>
    <t>Carrasquillo</t>
  </si>
  <si>
    <t>Hinson</t>
  </si>
  <si>
    <t>Mola</t>
  </si>
  <si>
    <t>Layens</t>
  </si>
  <si>
    <t>Khoudp</t>
  </si>
  <si>
    <t>Edwards-Joseph</t>
  </si>
  <si>
    <t>Tapia</t>
  </si>
  <si>
    <t>Owens</t>
  </si>
  <si>
    <t>Ross</t>
  </si>
  <si>
    <t>Hussein</t>
  </si>
  <si>
    <t>Bolanos</t>
  </si>
  <si>
    <t>Govan</t>
  </si>
  <si>
    <t>Noel</t>
  </si>
  <si>
    <t>Watt</t>
  </si>
  <si>
    <t>Kerwick</t>
  </si>
  <si>
    <t>Smartt</t>
  </si>
  <si>
    <t>Sharpe</t>
  </si>
  <si>
    <t>Woolford</t>
  </si>
  <si>
    <t>Nuredin</t>
  </si>
  <si>
    <t>Wojtylak</t>
  </si>
  <si>
    <t>Joakim</t>
  </si>
  <si>
    <t>Almonor</t>
  </si>
  <si>
    <t>Irizarry</t>
  </si>
  <si>
    <t>Laroche</t>
  </si>
  <si>
    <t>Dewale</t>
  </si>
  <si>
    <t>Sexton</t>
  </si>
  <si>
    <t>Adjeyi</t>
  </si>
  <si>
    <t>Aponte</t>
  </si>
  <si>
    <t>Newton</t>
  </si>
  <si>
    <t>Olabiwonnu</t>
  </si>
  <si>
    <t>Adekoya</t>
  </si>
  <si>
    <t>Cooper</t>
  </si>
  <si>
    <t>Faulkner</t>
  </si>
  <si>
    <t>Aguilar</t>
  </si>
  <si>
    <t>Adigun</t>
  </si>
  <si>
    <t>Kenneh</t>
  </si>
  <si>
    <t>Maldonado</t>
  </si>
  <si>
    <t>Otero</t>
  </si>
  <si>
    <t>Sylvster</t>
  </si>
  <si>
    <t>Bashar</t>
  </si>
  <si>
    <t>Rosado</t>
  </si>
  <si>
    <t>Manosalvas</t>
  </si>
  <si>
    <t>Manoslavas</t>
  </si>
  <si>
    <t>Coppotelli</t>
  </si>
  <si>
    <t>Ciancimino</t>
  </si>
  <si>
    <t>Martillo Cruz</t>
  </si>
  <si>
    <t>Augustin</t>
  </si>
  <si>
    <t>Burnett</t>
  </si>
  <si>
    <t>Castaneda</t>
  </si>
  <si>
    <t>Trigueno</t>
  </si>
  <si>
    <t>Bouley</t>
  </si>
  <si>
    <t>Tlatelpa</t>
  </si>
  <si>
    <t>Glenn</t>
  </si>
  <si>
    <t>Cupid</t>
  </si>
  <si>
    <t>Prescott</t>
  </si>
  <si>
    <t>Turner</t>
  </si>
  <si>
    <t>De Aza</t>
  </si>
  <si>
    <t>Vargas</t>
  </si>
  <si>
    <t>Buchanan</t>
  </si>
  <si>
    <t>Pareja</t>
  </si>
  <si>
    <t>Murray</t>
  </si>
  <si>
    <t>Terris</t>
  </si>
  <si>
    <t>Stephens</t>
  </si>
  <si>
    <t>Hamilton</t>
  </si>
  <si>
    <t>Tuitt</t>
  </si>
  <si>
    <t>Cotter</t>
  </si>
  <si>
    <t>Simmons</t>
  </si>
  <si>
    <t>Herrera Avalos</t>
  </si>
  <si>
    <t>Victorino</t>
  </si>
  <si>
    <t>Lisbon</t>
  </si>
  <si>
    <t>Laird</t>
  </si>
  <si>
    <t>Quach</t>
  </si>
  <si>
    <t>McDonald</t>
  </si>
  <si>
    <t>Warren</t>
  </si>
  <si>
    <t>Munzer</t>
  </si>
  <si>
    <t>Bennett</t>
  </si>
  <si>
    <t>Polito</t>
  </si>
  <si>
    <t>Perry</t>
  </si>
  <si>
    <t>Cousin</t>
  </si>
  <si>
    <t>Fogarthy</t>
  </si>
  <si>
    <t>Rosas</t>
  </si>
  <si>
    <t>Chase</t>
  </si>
  <si>
    <t>Fortuna</t>
  </si>
  <si>
    <t>Sylvester</t>
  </si>
  <si>
    <t>Abbruscato</t>
  </si>
  <si>
    <t>Iglesias</t>
  </si>
  <si>
    <t>Jaffery</t>
  </si>
  <si>
    <t>Gil</t>
  </si>
  <si>
    <t>Ford Simmons</t>
  </si>
  <si>
    <t>Quiros</t>
  </si>
  <si>
    <t>Lamberty</t>
  </si>
  <si>
    <t>Olatidoye</t>
  </si>
  <si>
    <t>Walsh</t>
  </si>
  <si>
    <t>Allsop</t>
  </si>
  <si>
    <t>Bowen Nichols</t>
  </si>
  <si>
    <t>cline</t>
  </si>
  <si>
    <t>Ge</t>
  </si>
  <si>
    <t>Dingle</t>
  </si>
  <si>
    <t>Moss</t>
  </si>
  <si>
    <t>Alexis</t>
  </si>
  <si>
    <t>Leed</t>
  </si>
  <si>
    <t>Andujar</t>
  </si>
  <si>
    <t>Saavedra</t>
  </si>
  <si>
    <t>Linder</t>
  </si>
  <si>
    <t>Fields</t>
  </si>
  <si>
    <t>Manneh</t>
  </si>
  <si>
    <t>Seward</t>
  </si>
  <si>
    <t>Snype</t>
  </si>
  <si>
    <t>Boasiako</t>
  </si>
  <si>
    <t>VArgas</t>
  </si>
  <si>
    <t>Kusiak Carey</t>
  </si>
  <si>
    <t>Willis</t>
  </si>
  <si>
    <t>Pope</t>
  </si>
  <si>
    <t>Yee</t>
  </si>
  <si>
    <t>Koechlin</t>
  </si>
  <si>
    <t>Newby</t>
  </si>
  <si>
    <t>Frizzelle</t>
  </si>
  <si>
    <t>Quiroz</t>
  </si>
  <si>
    <t>Mendiola</t>
  </si>
  <si>
    <t>Mosley</t>
  </si>
  <si>
    <t>Shepherd</t>
  </si>
  <si>
    <t>Bogdanova</t>
  </si>
  <si>
    <t>Sem-Adtorgenu</t>
  </si>
  <si>
    <t>Chappell</t>
  </si>
  <si>
    <t>Okomeng</t>
  </si>
  <si>
    <t>Mercado</t>
  </si>
  <si>
    <t>Payero</t>
  </si>
  <si>
    <t>Muhammad</t>
  </si>
  <si>
    <t>Shrestha</t>
  </si>
  <si>
    <t>Hargrove</t>
  </si>
  <si>
    <t>Cortorreal</t>
  </si>
  <si>
    <t>Byrd</t>
  </si>
  <si>
    <t>Spring</t>
  </si>
  <si>
    <t>Casteneda</t>
  </si>
  <si>
    <t>Makinde</t>
  </si>
  <si>
    <t>Dominguez</t>
  </si>
  <si>
    <t>Levine</t>
  </si>
  <si>
    <t>Lebron</t>
  </si>
  <si>
    <t>Dickerson</t>
  </si>
  <si>
    <t>Genoves</t>
  </si>
  <si>
    <t>Bibins</t>
  </si>
  <si>
    <t>Shoval</t>
  </si>
  <si>
    <t>Davila-Richards</t>
  </si>
  <si>
    <t>Hurd</t>
  </si>
  <si>
    <t>Willmorth</t>
  </si>
  <si>
    <t>Paeleus</t>
  </si>
  <si>
    <t>Watson</t>
  </si>
  <si>
    <t>Robateau</t>
  </si>
  <si>
    <t>Serby</t>
  </si>
  <si>
    <t>Westbrook</t>
  </si>
  <si>
    <t>Samios</t>
  </si>
  <si>
    <t>Mtambuzi</t>
  </si>
  <si>
    <t>Holder</t>
  </si>
  <si>
    <t>Capell</t>
  </si>
  <si>
    <t>Newell</t>
  </si>
  <si>
    <t>Sweets</t>
  </si>
  <si>
    <t>Ifield</t>
  </si>
  <si>
    <t>Prado</t>
  </si>
  <si>
    <t>Carlucci</t>
  </si>
  <si>
    <t>Turner-Matos</t>
  </si>
  <si>
    <t>Leon</t>
  </si>
  <si>
    <t>Randall</t>
  </si>
  <si>
    <t>Cornelius</t>
  </si>
  <si>
    <t>Maillard</t>
  </si>
  <si>
    <t>Paraez</t>
  </si>
  <si>
    <t>Saun</t>
  </si>
  <si>
    <t>Felix</t>
  </si>
  <si>
    <t>Danenhower</t>
  </si>
  <si>
    <t>Nigg</t>
  </si>
  <si>
    <t>Saturnin</t>
  </si>
  <si>
    <t>Mahon</t>
  </si>
  <si>
    <t>Fragoso</t>
  </si>
  <si>
    <t>Leibowitz</t>
  </si>
  <si>
    <t>Sawney-Calliste</t>
  </si>
  <si>
    <t>Levandov</t>
  </si>
  <si>
    <t>Doesserie-Mitchell</t>
  </si>
  <si>
    <t>Yepez</t>
  </si>
  <si>
    <t>Davidow</t>
  </si>
  <si>
    <t>Haft</t>
  </si>
  <si>
    <t>Hartley</t>
  </si>
  <si>
    <t>Roche</t>
  </si>
  <si>
    <t>Hinds</t>
  </si>
  <si>
    <t>Cardenas</t>
  </si>
  <si>
    <t>Sheen</t>
  </si>
  <si>
    <t>McGhee</t>
  </si>
  <si>
    <t>Spain</t>
  </si>
  <si>
    <t>Busone Rodriguez</t>
  </si>
  <si>
    <t>Sotiroff</t>
  </si>
  <si>
    <t>McLennan</t>
  </si>
  <si>
    <t>Mancuso</t>
  </si>
  <si>
    <t>Gutierrez</t>
  </si>
  <si>
    <t>Schand</t>
  </si>
  <si>
    <t>Masako</t>
  </si>
  <si>
    <t>Fripp</t>
  </si>
  <si>
    <t>Rivera Mendez</t>
  </si>
  <si>
    <t>Chan</t>
  </si>
  <si>
    <t>Moorer</t>
  </si>
  <si>
    <t>Devitt</t>
  </si>
  <si>
    <t>Baldwin</t>
  </si>
  <si>
    <t>Shifrin</t>
  </si>
  <si>
    <t>Mette</t>
  </si>
  <si>
    <t>Sneddon</t>
  </si>
  <si>
    <t>Bush</t>
  </si>
  <si>
    <t>Wilburn</t>
  </si>
  <si>
    <t>Licthmore</t>
  </si>
  <si>
    <t>Shea</t>
  </si>
  <si>
    <t>Stribling</t>
  </si>
  <si>
    <t>Shoup</t>
  </si>
  <si>
    <t>Silverstein</t>
  </si>
  <si>
    <t>Fuller</t>
  </si>
  <si>
    <t>Mohorn</t>
  </si>
  <si>
    <t>Cohen</t>
  </si>
  <si>
    <t>Soukamneuth</t>
  </si>
  <si>
    <t>6919 Hillmeyer Ave</t>
  </si>
  <si>
    <t>1415 Mott Ave</t>
  </si>
  <si>
    <t>1130 Grassmere Ter</t>
  </si>
  <si>
    <t>125 Beach 17th St</t>
  </si>
  <si>
    <t>14707 N Conduit Ave</t>
  </si>
  <si>
    <t>10306 Remington St</t>
  </si>
  <si>
    <t>10704 Liverpool St</t>
  </si>
  <si>
    <t>107-04 Liverpool Street</t>
  </si>
  <si>
    <t>17515 144th Dr</t>
  </si>
  <si>
    <t>8822 Parsons Blvd</t>
  </si>
  <si>
    <t>14920 124th St</t>
  </si>
  <si>
    <t>12607 101st Ave</t>
  </si>
  <si>
    <t>7608 Glenmore Ave</t>
  </si>
  <si>
    <t>10416 Liberty Ave</t>
  </si>
  <si>
    <t>8610 Atlantic Ave</t>
  </si>
  <si>
    <t>10436 196th St</t>
  </si>
  <si>
    <t>6730 75th St</t>
  </si>
  <si>
    <t>4146 68th St</t>
  </si>
  <si>
    <t>9830 57th Ave</t>
  </si>
  <si>
    <t>10005 37th Ave</t>
  </si>
  <si>
    <t>3633 169th St</t>
  </si>
  <si>
    <t>2005 126th St</t>
  </si>
  <si>
    <t>571 Sterling Pl</t>
  </si>
  <si>
    <t>425 Grand Ave</t>
  </si>
  <si>
    <t>435 Grand Ave</t>
  </si>
  <si>
    <t>249 Thomas S Boyland St</t>
  </si>
  <si>
    <t>295A Bainbridge St</t>
  </si>
  <si>
    <t>21 Truxton St</t>
  </si>
  <si>
    <t>246 Bainbridge St</t>
  </si>
  <si>
    <t>216 Rockaway ave</t>
  </si>
  <si>
    <t>1904 Bergen st</t>
  </si>
  <si>
    <t>216 Rockaway Ave</t>
  </si>
  <si>
    <t>1711 Fulton St</t>
  </si>
  <si>
    <t>1743 Prospect Pl</t>
  </si>
  <si>
    <t>496 Marion St</t>
  </si>
  <si>
    <t>249 Thomas S Boyland st</t>
  </si>
  <si>
    <t>1639 Saint Marks Ave</t>
  </si>
  <si>
    <t>779 4th Ave</t>
  </si>
  <si>
    <t>15 B Dwight Street</t>
  </si>
  <si>
    <t>310 E 25th St</t>
  </si>
  <si>
    <t>1030 Carroll St</t>
  </si>
  <si>
    <t>572 Manhattan Ave</t>
  </si>
  <si>
    <t>232 Stuyvesant Ave</t>
  </si>
  <si>
    <t>6623 Ridge Blvd</t>
  </si>
  <si>
    <t>483 Pacific St</t>
  </si>
  <si>
    <t>568 Pacific St</t>
  </si>
  <si>
    <t>444 State St</t>
  </si>
  <si>
    <t>372 New York Ave</t>
  </si>
  <si>
    <t>1074 Eastern Pkwy</t>
  </si>
  <si>
    <t>391 Rockaway Pkwy</t>
  </si>
  <si>
    <t>1805 Pitkin Ave</t>
  </si>
  <si>
    <t>63 E 95th St</t>
  </si>
  <si>
    <t>257 Mother Gaston Blvd</t>
  </si>
  <si>
    <t>1406 New York Ave</t>
  </si>
  <si>
    <t>419 Montauk Ave</t>
  </si>
  <si>
    <t>715 Riverdale Ave</t>
  </si>
  <si>
    <t>985 Halsey St</t>
  </si>
  <si>
    <t>481 Williams Ave</t>
  </si>
  <si>
    <t>3433 30th St</t>
  </si>
  <si>
    <t>4318 42nd St</t>
  </si>
  <si>
    <t>4754 Richardson Ave</t>
  </si>
  <si>
    <t>3817 Dyre Ave</t>
  </si>
  <si>
    <t>3111 Heath Ave</t>
  </si>
  <si>
    <t>2337 Ellis Ave</t>
  </si>
  <si>
    <t>853 Elsmere Pl</t>
  </si>
  <si>
    <t>952 Aldus St</t>
  </si>
  <si>
    <t>540 East 183rd Street</t>
  </si>
  <si>
    <t>1711 Morris Ave</t>
  </si>
  <si>
    <t>1515 Selwyn Ave</t>
  </si>
  <si>
    <t>1362 Grand Concourse</t>
  </si>
  <si>
    <t>563 Cauldwell Ave</t>
  </si>
  <si>
    <t>653 Cauldwell Ave</t>
  </si>
  <si>
    <t>1080 Anderson Ave</t>
  </si>
  <si>
    <t>47 Featherbed Ln</t>
  </si>
  <si>
    <t>107 Caroline St</t>
  </si>
  <si>
    <t>624 Darlington Ave</t>
  </si>
  <si>
    <t>142 Hillcrest Ter</t>
  </si>
  <si>
    <t>196 Saint Marys Ave</t>
  </si>
  <si>
    <t>231 Steuben St</t>
  </si>
  <si>
    <t>1806 1st ave</t>
  </si>
  <si>
    <t>14 Thayer St</t>
  </si>
  <si>
    <t>30 Sickles St</t>
  </si>
  <si>
    <t>2 Ellwood St</t>
  </si>
  <si>
    <t>46 Wadsworth Ter</t>
  </si>
  <si>
    <t>113 Nassau St</t>
  </si>
  <si>
    <t>630 Lenox Ave</t>
  </si>
  <si>
    <t>231 E 117th St</t>
  </si>
  <si>
    <t>235 E 117th St</t>
  </si>
  <si>
    <t>580 Academy St</t>
  </si>
  <si>
    <t>546 Isham St</t>
  </si>
  <si>
    <t>5009 Broadway</t>
  </si>
  <si>
    <t>129 Sherman Ave</t>
  </si>
  <si>
    <t>621 W 171st St</t>
  </si>
  <si>
    <t>655 W 160th St</t>
  </si>
  <si>
    <t>562 W 162nd St</t>
  </si>
  <si>
    <t>2167 2nd Ave</t>
  </si>
  <si>
    <t>345 E 83rd St</t>
  </si>
  <si>
    <t>1692 Park Ave</t>
  </si>
  <si>
    <t>2181 Strauss St</t>
  </si>
  <si>
    <t>2075 Creston Ave</t>
  </si>
  <si>
    <t>9427 Kings Hwy</t>
  </si>
  <si>
    <t>1741 Norman St</t>
  </si>
  <si>
    <t>312 Court St</t>
  </si>
  <si>
    <t>25 W Tremont Ave</t>
  </si>
  <si>
    <t>899 Montgomery St</t>
  </si>
  <si>
    <t>675 Lincoln Ave</t>
  </si>
  <si>
    <t>671 Halsey St</t>
  </si>
  <si>
    <t>235 Ralph Ave</t>
  </si>
  <si>
    <t>902 Drew St</t>
  </si>
  <si>
    <t>227 23rd St</t>
  </si>
  <si>
    <t>1646 Union St</t>
  </si>
  <si>
    <t>381 Sumpter St</t>
  </si>
  <si>
    <t>1305 Delmar Loope</t>
  </si>
  <si>
    <t>220 Audubon Ave</t>
  </si>
  <si>
    <t>229 Seaman Ave</t>
  </si>
  <si>
    <t>454 E 119th St</t>
  </si>
  <si>
    <t>37 Utica Ave</t>
  </si>
  <si>
    <t>7027 65th Pl</t>
  </si>
  <si>
    <t>439 E 135th St</t>
  </si>
  <si>
    <t>167 W 83rd St</t>
  </si>
  <si>
    <t>1417 Grand Concourse</t>
  </si>
  <si>
    <t>8531 120th St</t>
  </si>
  <si>
    <t>9264 218th PL</t>
  </si>
  <si>
    <t>425 E 153rd St</t>
  </si>
  <si>
    <t>674 Academy St</t>
  </si>
  <si>
    <t>14220 Franklin Ave</t>
  </si>
  <si>
    <t>417 Pennsylvania Ave</t>
  </si>
  <si>
    <t>4331 45th St</t>
  </si>
  <si>
    <t>198 Clarkson Ave</t>
  </si>
  <si>
    <t>22151 Braddock Ave</t>
  </si>
  <si>
    <t>787 E 46th St</t>
  </si>
  <si>
    <t>1926 Longfellow Ave</t>
  </si>
  <si>
    <t>1967 Bergen St</t>
  </si>
  <si>
    <t>165 Sherman Ave</t>
  </si>
  <si>
    <t>1000 Anderson Ave</t>
  </si>
  <si>
    <t>3950 60th St</t>
  </si>
  <si>
    <t>1607 Prospect Pl</t>
  </si>
  <si>
    <t>55 Nagle Ave</t>
  </si>
  <si>
    <t>101 Post Ave</t>
  </si>
  <si>
    <t>530 W 178th St</t>
  </si>
  <si>
    <t>327 Franklin Ave</t>
  </si>
  <si>
    <t>363 E 163rd St</t>
  </si>
  <si>
    <t>327 Fillmore St</t>
  </si>
  <si>
    <t>1044 E 93rd St</t>
  </si>
  <si>
    <t>624 Howard Ave</t>
  </si>
  <si>
    <t>98 W 183rd St</t>
  </si>
  <si>
    <t>18364 Dunlop Ave</t>
  </si>
  <si>
    <t>158 E 119th St</t>
  </si>
  <si>
    <t>260 Park Hill Ave</t>
  </si>
  <si>
    <t>1711 Fulton st</t>
  </si>
  <si>
    <t>1495 Grand Concourse</t>
  </si>
  <si>
    <t>13418 133rd Ave</t>
  </si>
  <si>
    <t>2768 Webster Ave</t>
  </si>
  <si>
    <t>968 Bronx Park S</t>
  </si>
  <si>
    <t>347 Chauncey st</t>
  </si>
  <si>
    <t>P.O Box 689</t>
  </si>
  <si>
    <t>412 Macon St</t>
  </si>
  <si>
    <t>25 utica Ave</t>
  </si>
  <si>
    <t>8912 183rd St</t>
  </si>
  <si>
    <t>523 E 108th St</t>
  </si>
  <si>
    <t>1453 Walton Ave</t>
  </si>
  <si>
    <t>370 Morris Ave</t>
  </si>
  <si>
    <t>3428 44th St</t>
  </si>
  <si>
    <t>774 Rockaway Ave</t>
  </si>
  <si>
    <t>14144 182nd St</t>
  </si>
  <si>
    <t>498 Vermont St</t>
  </si>
  <si>
    <t>4135 53rd St</t>
  </si>
  <si>
    <t>1604 Caffrey Ave</t>
  </si>
  <si>
    <t>22 E 112th St</t>
  </si>
  <si>
    <t>6685B Broadway</t>
  </si>
  <si>
    <t>1460 Sterling Pl</t>
  </si>
  <si>
    <t>558 Ralph Ave</t>
  </si>
  <si>
    <t>251 Mother Gaston Blvd</t>
  </si>
  <si>
    <t>975 42nd St</t>
  </si>
  <si>
    <t>906 Mother Gaston Blvd</t>
  </si>
  <si>
    <t>4325 Hunter St</t>
  </si>
  <si>
    <t>294 5th Ave</t>
  </si>
  <si>
    <t>333 Beach 32nd St</t>
  </si>
  <si>
    <t>2022 Benedict Ave</t>
  </si>
  <si>
    <t>11609 Francis Lewis Blvd</t>
  </si>
  <si>
    <t>170 Vermilyea Ave</t>
  </si>
  <si>
    <t>1765 Townsend Ave</t>
  </si>
  <si>
    <t>1555 Grand Concourse</t>
  </si>
  <si>
    <t>110 Seaman Ave</t>
  </si>
  <si>
    <t>1652 Popham Ave</t>
  </si>
  <si>
    <t>556 W 181st St</t>
  </si>
  <si>
    <t>6570 Booth St</t>
  </si>
  <si>
    <t>1150 Intervale Ave</t>
  </si>
  <si>
    <t>8775 172nd St</t>
  </si>
  <si>
    <t>329 Beach 70th St</t>
  </si>
  <si>
    <t>1566 Eastern Pkwy</t>
  </si>
  <si>
    <t>5124 Beach Channel Dr</t>
  </si>
  <si>
    <t>165 Conover st</t>
  </si>
  <si>
    <t>345 Chauncey St</t>
  </si>
  <si>
    <t>1685 Topping Ave</t>
  </si>
  <si>
    <t>1409 Prospect Ave</t>
  </si>
  <si>
    <t>973 Saint Marks Ave</t>
  </si>
  <si>
    <t>343 Herzl St</t>
  </si>
  <si>
    <t>8 Rutland Rd</t>
  </si>
  <si>
    <t>7002 Parsons Blvd</t>
  </si>
  <si>
    <t>769 Bryant Ave</t>
  </si>
  <si>
    <t>11618 147th St</t>
  </si>
  <si>
    <t>1781 Riverside Dr</t>
  </si>
  <si>
    <t>30 E 95th St</t>
  </si>
  <si>
    <t>1777 Grand Concourse</t>
  </si>
  <si>
    <t>91 Junius St</t>
  </si>
  <si>
    <t>248 Audubon Ave</t>
  </si>
  <si>
    <t>181 Beach 25th St</t>
  </si>
  <si>
    <t>549 Cleveland St</t>
  </si>
  <si>
    <t>127 E 107th St</t>
  </si>
  <si>
    <t>165 Saint Marks Pl</t>
  </si>
  <si>
    <t>11810 193rd St</t>
  </si>
  <si>
    <t>9102 Sutter Ave</t>
  </si>
  <si>
    <t>131 Broome St</t>
  </si>
  <si>
    <t>554 W 181st St</t>
  </si>
  <si>
    <t>8355 Austin St</t>
  </si>
  <si>
    <t>1197 Grand Concourse</t>
  </si>
  <si>
    <t>966 Saint Nicholas Ave</t>
  </si>
  <si>
    <t>13753 234th St</t>
  </si>
  <si>
    <t>91 Brook St</t>
  </si>
  <si>
    <t>89 W Tremont Ave</t>
  </si>
  <si>
    <t>437 Wyona St</t>
  </si>
  <si>
    <t>2328 28th Ave</t>
  </si>
  <si>
    <t>2055 Harrison Ave</t>
  </si>
  <si>
    <t>1314 Eastern Pkwy</t>
  </si>
  <si>
    <t>8 W 169th St</t>
  </si>
  <si>
    <t>460n Brielle Ave</t>
  </si>
  <si>
    <t>631 W 207th St</t>
  </si>
  <si>
    <t>1221 Vyse Ave</t>
  </si>
  <si>
    <t>6685 Broadway</t>
  </si>
  <si>
    <t>5039 61st St</t>
  </si>
  <si>
    <t>11560 204th St</t>
  </si>
  <si>
    <t>124 E 117th St</t>
  </si>
  <si>
    <t>550 Snediker Ave</t>
  </si>
  <si>
    <t>14 prospect ave</t>
  </si>
  <si>
    <t>1380 Univ Ave</t>
  </si>
  <si>
    <t>951 Hoe Ave</t>
  </si>
  <si>
    <t>1454 Grand Concourse</t>
  </si>
  <si>
    <t>4133 159th St</t>
  </si>
  <si>
    <t>160 Vermilyea Ave</t>
  </si>
  <si>
    <t>2575 Jerome Ave</t>
  </si>
  <si>
    <t>610 Academy St</t>
  </si>
  <si>
    <t>3706 107th St</t>
  </si>
  <si>
    <t>858 Blake Ave</t>
  </si>
  <si>
    <t>80 Bruckner Blvd</t>
  </si>
  <si>
    <t>1876 cedar ave</t>
  </si>
  <si>
    <t>180 E 18th St</t>
  </si>
  <si>
    <t>54 Bristol St</t>
  </si>
  <si>
    <t>10741 Sutphin Blvd</t>
  </si>
  <si>
    <t>941 Jerome ave</t>
  </si>
  <si>
    <t>232 Schenectady Ave</t>
  </si>
  <si>
    <t>392 Rockaway Pkwy</t>
  </si>
  <si>
    <t>1220 Shakespeare Ave</t>
  </si>
  <si>
    <t>5763 wadsworth terrace</t>
  </si>
  <si>
    <t>57-63 wadsworth terrace</t>
  </si>
  <si>
    <t>296A Marion St</t>
  </si>
  <si>
    <t>429 Bergen St</t>
  </si>
  <si>
    <t>1985 Webster Ave</t>
  </si>
  <si>
    <t>411 Westervelt Ave</t>
  </si>
  <si>
    <t>860 Riverside Dr</t>
  </si>
  <si>
    <t>426 Harold Ave</t>
  </si>
  <si>
    <t>1880 Valentine Ave</t>
  </si>
  <si>
    <t>1515 Metropolitan Ave</t>
  </si>
  <si>
    <t>2109 1st Ave</t>
  </si>
  <si>
    <t>1752 Walton Ave</t>
  </si>
  <si>
    <t>610 W 178th St</t>
  </si>
  <si>
    <t>1740 Prospect Pl</t>
  </si>
  <si>
    <t>711 W 180th St</t>
  </si>
  <si>
    <t>75 Post Ave</t>
  </si>
  <si>
    <t>3424 Gates Pl</t>
  </si>
  <si>
    <t>2111 Lafontaine Ave</t>
  </si>
  <si>
    <t>413 Jersey St</t>
  </si>
  <si>
    <t>2511 Newkirk Ave</t>
  </si>
  <si>
    <t>1026 E 180th St</t>
  </si>
  <si>
    <t>205 Avenue C</t>
  </si>
  <si>
    <t>180 Broad St</t>
  </si>
  <si>
    <t>185 Park Hill Ave</t>
  </si>
  <si>
    <t>58 E 117th St</t>
  </si>
  <si>
    <t>615 W 186th St</t>
  </si>
  <si>
    <t>2044 Bergen St</t>
  </si>
  <si>
    <t>1355 Morris Ave</t>
  </si>
  <si>
    <t>911 Walton Ave</t>
  </si>
  <si>
    <t>1434 Ogden Ave</t>
  </si>
  <si>
    <t>693 Flatbush Ave</t>
  </si>
  <si>
    <t>1466 Beach Ave</t>
  </si>
  <si>
    <t>395 Autumn Ave</t>
  </si>
  <si>
    <t>30 Richman Plz</t>
  </si>
  <si>
    <t>164 Winter Ave</t>
  </si>
  <si>
    <t>1336 Herkimer St</t>
  </si>
  <si>
    <t>19619 Jamaica Ave</t>
  </si>
  <si>
    <t>57-63 Wadsworth Terrace</t>
  </si>
  <si>
    <t>1771 Monroe Ave</t>
  </si>
  <si>
    <t>1855 Monroe Ave</t>
  </si>
  <si>
    <t>1370 Saint Nicholas Ave</t>
  </si>
  <si>
    <t>3629 191st St</t>
  </si>
  <si>
    <t>1122 Herkimer st</t>
  </si>
  <si>
    <t>1 Jacobus Pl</t>
  </si>
  <si>
    <t>1015 E 179th st</t>
  </si>
  <si>
    <t>737 Southern Blvd</t>
  </si>
  <si>
    <t>211 W 101st St</t>
  </si>
  <si>
    <t>133 Elliot Pl</t>
  </si>
  <si>
    <t>19154 115th Rd</t>
  </si>
  <si>
    <t>1377 Teller Ave</t>
  </si>
  <si>
    <t>2518 Seagirt Ave</t>
  </si>
  <si>
    <t>13046 226th St</t>
  </si>
  <si>
    <t>1339 Bristow St</t>
  </si>
  <si>
    <t>329 Beach 86th St</t>
  </si>
  <si>
    <t>707 W 171st St</t>
  </si>
  <si>
    <t>451 E 116th St</t>
  </si>
  <si>
    <t>6637 53rd Ave</t>
  </si>
  <si>
    <t>2001 Morris Ave</t>
  </si>
  <si>
    <t>1900 Hennessy Pl</t>
  </si>
  <si>
    <t>185 Audubon Ave</t>
  </si>
  <si>
    <t>12 E 177th St</t>
  </si>
  <si>
    <t>1661 Saint Johns Pl</t>
  </si>
  <si>
    <t>1447 Gipson St</t>
  </si>
  <si>
    <t>1652 Park Ave</t>
  </si>
  <si>
    <t>1011 Sheridan Ave</t>
  </si>
  <si>
    <t>408 Lincoln Ave</t>
  </si>
  <si>
    <t>2145 Amsterdam Ave</t>
  </si>
  <si>
    <t>2092 Dean St</t>
  </si>
  <si>
    <t>1064 Ward Ave</t>
  </si>
  <si>
    <t>461 Dean St</t>
  </si>
  <si>
    <t>115 Marcy Pl</t>
  </si>
  <si>
    <t>750 Grand Concourse</t>
  </si>
  <si>
    <t>555 Lincoln Ave</t>
  </si>
  <si>
    <t>2022 3rd Ave</t>
  </si>
  <si>
    <t>567 Macon St</t>
  </si>
  <si>
    <t>321 Milford St</t>
  </si>
  <si>
    <t>1920 Union St</t>
  </si>
  <si>
    <t>131 Jersey St</t>
  </si>
  <si>
    <t>1624 Madison Ave</t>
  </si>
  <si>
    <t>1360 Eastern Pkwy</t>
  </si>
  <si>
    <t>1115 1st Ave</t>
  </si>
  <si>
    <t>446 E 98th St</t>
  </si>
  <si>
    <t>1201 Shakespeare Ave</t>
  </si>
  <si>
    <t>8510 148th St</t>
  </si>
  <si>
    <t>2064 Crescent St</t>
  </si>
  <si>
    <t>4455 Broadway</t>
  </si>
  <si>
    <t>119 Vermilyea Ave</t>
  </si>
  <si>
    <t>284 Eastern Pkwy</t>
  </si>
  <si>
    <t>393 Montauk Ave</t>
  </si>
  <si>
    <t>150 Hendricks Ave</t>
  </si>
  <si>
    <t>10 Kimberly Ln</t>
  </si>
  <si>
    <t>643 Thieriot Ave</t>
  </si>
  <si>
    <t>598 W 191st St</t>
  </si>
  <si>
    <t>1452 Beach Ave</t>
  </si>
  <si>
    <t>501 W 189th St</t>
  </si>
  <si>
    <t>950 Aldus St</t>
  </si>
  <si>
    <t>458 Ruby St</t>
  </si>
  <si>
    <t>3413 Avenue H</t>
  </si>
  <si>
    <t>2999 8th Ave</t>
  </si>
  <si>
    <t>2187 Strauss St</t>
  </si>
  <si>
    <t>6 E 167th St</t>
  </si>
  <si>
    <t>521 W 186th St</t>
  </si>
  <si>
    <t>2351 Pacific St</t>
  </si>
  <si>
    <t>23 Tessa Ct</t>
  </si>
  <si>
    <t>866 E 178th St</t>
  </si>
  <si>
    <t>60 Thayer St</t>
  </si>
  <si>
    <t>257 Linden St</t>
  </si>
  <si>
    <t>225 Park Hill Ave</t>
  </si>
  <si>
    <t>3856 10th Ave</t>
  </si>
  <si>
    <t>14412 28th Ave</t>
  </si>
  <si>
    <t>399 Kosciuszko St</t>
  </si>
  <si>
    <t>2985 Botanical Sq</t>
  </si>
  <si>
    <t>3405 Putnam Pl</t>
  </si>
  <si>
    <t>228 Nagle Ave</t>
  </si>
  <si>
    <t>174 Riverdale Ave</t>
  </si>
  <si>
    <t>1325 Lafayette Ave</t>
  </si>
  <si>
    <t>3510 Bainbridge Ave</t>
  </si>
  <si>
    <t>93 Arnold St</t>
  </si>
  <si>
    <t>655 Morris Ave</t>
  </si>
  <si>
    <t>2305 2nd Ave</t>
  </si>
  <si>
    <t>45 Twin Pines Dr</t>
  </si>
  <si>
    <t>435 GRAND AVE</t>
  </si>
  <si>
    <t>230 President St</t>
  </si>
  <si>
    <t>1096 President St</t>
  </si>
  <si>
    <t>420 Watkins St</t>
  </si>
  <si>
    <t>15 Jacobus Pl</t>
  </si>
  <si>
    <t>980 Aldus St</t>
  </si>
  <si>
    <t>1805 Crotona Ave</t>
  </si>
  <si>
    <t>4567 W. Tremont Avenue</t>
  </si>
  <si>
    <t>1615 Walton Ave</t>
  </si>
  <si>
    <t>20-26 Bogardus Pl</t>
  </si>
  <si>
    <t>131 BROOME ST</t>
  </si>
  <si>
    <t>140 Park Hill Ave</t>
  </si>
  <si>
    <t>180 Park Hill Ave</t>
  </si>
  <si>
    <t>1510 Jesup Ave</t>
  </si>
  <si>
    <t>2160 dean st</t>
  </si>
  <si>
    <t>45 Pinehurst Ave</t>
  </si>
  <si>
    <t>318 E 126th St</t>
  </si>
  <si>
    <t>595 W 207th St</t>
  </si>
  <si>
    <t>36 Bedford Park Blvd E</t>
  </si>
  <si>
    <t>1873 Park Pl</t>
  </si>
  <si>
    <t>481 W 165th St</t>
  </si>
  <si>
    <t>15754 21st Ave</t>
  </si>
  <si>
    <t>765 Lincon Ave</t>
  </si>
  <si>
    <t>516 W 156th St</t>
  </si>
  <si>
    <t>1500 Hornell Loop</t>
  </si>
  <si>
    <t>628 E 17th St</t>
  </si>
  <si>
    <t>179 Riverdale Ave</t>
  </si>
  <si>
    <t>67 Manhattan Ave</t>
  </si>
  <si>
    <t>880 Tinton Ave</t>
  </si>
  <si>
    <t>1269 Grand Concourse</t>
  </si>
  <si>
    <t>520 Isham St</t>
  </si>
  <si>
    <t>340 E 112th St</t>
  </si>
  <si>
    <t>275 E Gun Hill Rd</t>
  </si>
  <si>
    <t>1060 Sheridan Ave</t>
  </si>
  <si>
    <t>1505 Grand Concourse</t>
  </si>
  <si>
    <t>1512 Townfend Ave</t>
  </si>
  <si>
    <t>691 Gerard Ave</t>
  </si>
  <si>
    <t>517 W 160th St</t>
  </si>
  <si>
    <t>2276 Atlantic Ave</t>
  </si>
  <si>
    <t>400 Clinton Ave</t>
  </si>
  <si>
    <t>331 Beach 31st St</t>
  </si>
  <si>
    <t>1146 Ogden Ave</t>
  </si>
  <si>
    <t>899 Westchester Ave</t>
  </si>
  <si>
    <t>2772 PITKIN AVE</t>
  </si>
  <si>
    <t>107 E 129th St # 123</t>
  </si>
  <si>
    <t>803 W 180th St</t>
  </si>
  <si>
    <t>420 W 206th St</t>
  </si>
  <si>
    <t>662 Halsey St</t>
  </si>
  <si>
    <t>140 Vermilyea Ave</t>
  </si>
  <si>
    <t>165 Woltz Ave, Upper Floor</t>
  </si>
  <si>
    <t>1254 Sherman Ave</t>
  </si>
  <si>
    <t>509 Flatbush Ave</t>
  </si>
  <si>
    <t>39 Hegeman Ave</t>
  </si>
  <si>
    <t>630 Chauncey St</t>
  </si>
  <si>
    <t>2175 Ryer Ave</t>
  </si>
  <si>
    <t>268a Jersey St</t>
  </si>
  <si>
    <t>10470 47th Ave</t>
  </si>
  <si>
    <t>2714 Frederick Douglass Blvd</t>
  </si>
  <si>
    <t>258 67th St</t>
  </si>
  <si>
    <t>1041 Longfellow Ave</t>
  </si>
  <si>
    <t>615 W 184th St</t>
  </si>
  <si>
    <t>100 Belmont Pl</t>
  </si>
  <si>
    <t>16 Arden St</t>
  </si>
  <si>
    <t>2374 Amsterdam Ave</t>
  </si>
  <si>
    <t>1157 Intervale Ave</t>
  </si>
  <si>
    <t>615 Hendrix St</t>
  </si>
  <si>
    <t>91 E 116th St</t>
  </si>
  <si>
    <t>9407 75th St</t>
  </si>
  <si>
    <t>11245 Sea View Ave</t>
  </si>
  <si>
    <t>1210 Elder Ave</t>
  </si>
  <si>
    <t>1191 Boston Rd</t>
  </si>
  <si>
    <t>280 Park Hill Ave</t>
  </si>
  <si>
    <t>3736 10th Ave</t>
  </si>
  <si>
    <t>2108 Amsterdam Ave</t>
  </si>
  <si>
    <t>15 W 139th St</t>
  </si>
  <si>
    <t>557 Bradford St</t>
  </si>
  <si>
    <t>5929 Queens Blvd</t>
  </si>
  <si>
    <t>903 Drew St</t>
  </si>
  <si>
    <t>430 New Jersey Ave</t>
  </si>
  <si>
    <t>1506 Walton Ave</t>
  </si>
  <si>
    <t>521 Fort Washington Ave</t>
  </si>
  <si>
    <t>125 E 118th St</t>
  </si>
  <si>
    <t>4706 49th St</t>
  </si>
  <si>
    <t>1490 Boone Ave</t>
  </si>
  <si>
    <t>9116 95th Ave</t>
  </si>
  <si>
    <t>420 Soundview Ave</t>
  </si>
  <si>
    <t>4513 10th Ave</t>
  </si>
  <si>
    <t>136 Seaman Ave</t>
  </si>
  <si>
    <t>765 lincoln ave</t>
  </si>
  <si>
    <t>14750 72nd Dr</t>
  </si>
  <si>
    <t>83 Crescent Ave</t>
  </si>
  <si>
    <t>2060 Crotona Pkwy</t>
  </si>
  <si>
    <t>185 Saint Marks Pl</t>
  </si>
  <si>
    <t>281 Wadsworth Ave</t>
  </si>
  <si>
    <t>1679 Southern Blvd</t>
  </si>
  <si>
    <t>1018 Eastern Pkwy</t>
  </si>
  <si>
    <t>420 Saint Marks Pl</t>
  </si>
  <si>
    <t>417 E 114th St</t>
  </si>
  <si>
    <t>8914 80th St</t>
  </si>
  <si>
    <t>34 Layton Ave</t>
  </si>
  <si>
    <t>2750 W 33rd St</t>
  </si>
  <si>
    <t>304 W 148th St</t>
  </si>
  <si>
    <t>702 44th St</t>
  </si>
  <si>
    <t>507 W 172nd St</t>
  </si>
  <si>
    <t>154 E 106th St</t>
  </si>
  <si>
    <t>3805 Crescent St</t>
  </si>
  <si>
    <t>13318 145th St</t>
  </si>
  <si>
    <t>30 3rd St</t>
  </si>
  <si>
    <t>536 E 96th St</t>
  </si>
  <si>
    <t>511 W 172nd St</t>
  </si>
  <si>
    <t>681 E 181st St</t>
  </si>
  <si>
    <t>2260 Webster Ave</t>
  </si>
  <si>
    <t>3304 143rd St</t>
  </si>
  <si>
    <t>216 Westervelt Ave</t>
  </si>
  <si>
    <t>95 Clinton St</t>
  </si>
  <si>
    <t>967 Sutter Ave</t>
  </si>
  <si>
    <t>1382 Shakespeare Ave</t>
  </si>
  <si>
    <t>49 Curtis Pl</t>
  </si>
  <si>
    <t>4328 Murray St</t>
  </si>
  <si>
    <t>1120 Loring Ave</t>
  </si>
  <si>
    <t>1415 Wythe Pl</t>
  </si>
  <si>
    <t>350 Vanderbilt Ave</t>
  </si>
  <si>
    <t>521 Isham St</t>
  </si>
  <si>
    <t>1238 Simpson St</t>
  </si>
  <si>
    <t>1230 woodycrest Ave</t>
  </si>
  <si>
    <t>629 E 3rd St</t>
  </si>
  <si>
    <t>1420 Crotona Park E</t>
  </si>
  <si>
    <t>9428 86th Rd</t>
  </si>
  <si>
    <t>723 125th St</t>
  </si>
  <si>
    <t>500 W 176th St</t>
  </si>
  <si>
    <t>10934 221st St</t>
  </si>
  <si>
    <t>13324 Sanford Ave</t>
  </si>
  <si>
    <t>54 S Elliott Pl</t>
  </si>
  <si>
    <t>1206 Bergen St</t>
  </si>
  <si>
    <t>101 sherman ave</t>
  </si>
  <si>
    <t>1111 Gerard Ave</t>
  </si>
  <si>
    <t>14308 Roosevelt Ave</t>
  </si>
  <si>
    <t>611 W 158th St</t>
  </si>
  <si>
    <t>1 Bennett Ave</t>
  </si>
  <si>
    <t>1036 President St</t>
  </si>
  <si>
    <t>1001 Woodycrest Ave</t>
  </si>
  <si>
    <t>1454 Shakespeare Ave</t>
  </si>
  <si>
    <t>101 Daniel Low Ter</t>
  </si>
  <si>
    <t>1274 5th Ave</t>
  </si>
  <si>
    <t>119 Clark Ln</t>
  </si>
  <si>
    <t>1705 Stanhope St</t>
  </si>
  <si>
    <t>293 Martense St</t>
  </si>
  <si>
    <t>10921 Van Wyck Expy</t>
  </si>
  <si>
    <t>997 Summit Ave</t>
  </si>
  <si>
    <t>15110 35th Ave</t>
  </si>
  <si>
    <t>217 Van Brunt St</t>
  </si>
  <si>
    <t>11539 135th St</t>
  </si>
  <si>
    <t>110 Chauncey st</t>
  </si>
  <si>
    <t>449 W 206th St</t>
  </si>
  <si>
    <t>310 Alexander Ave</t>
  </si>
  <si>
    <t>1769 Vyse Ave</t>
  </si>
  <si>
    <t>490 E 189th St</t>
  </si>
  <si>
    <t>662 6th Ave</t>
  </si>
  <si>
    <t>51 E 129th St</t>
  </si>
  <si>
    <t>2545 Linden Blvd</t>
  </si>
  <si>
    <t>108 E Clarke Pl</t>
  </si>
  <si>
    <t>632 Morris Ave</t>
  </si>
  <si>
    <t>656 W 204th St</t>
  </si>
  <si>
    <t>790 Riverside Dr</t>
  </si>
  <si>
    <t>1520 Sedgwick Ave</t>
  </si>
  <si>
    <t>541 W 180th St</t>
  </si>
  <si>
    <t>14435 37th Ave</t>
  </si>
  <si>
    <t>388 Van Duzer St</t>
  </si>
  <si>
    <t>9863 Corona Ave</t>
  </si>
  <si>
    <t>1954 1st Ave</t>
  </si>
  <si>
    <t>458 E 143rd St</t>
  </si>
  <si>
    <t>549 Isham St</t>
  </si>
  <si>
    <t>82 Rockaway Pkwy</t>
  </si>
  <si>
    <t>117 Sherman Ave</t>
  </si>
  <si>
    <t>234 Newport St</t>
  </si>
  <si>
    <t>888 Grand Concourse</t>
  </si>
  <si>
    <t>33 Bionia Ave</t>
  </si>
  <si>
    <t>701 Bay St</t>
  </si>
  <si>
    <t>4516 49th St</t>
  </si>
  <si>
    <t>670 E 32nd St</t>
  </si>
  <si>
    <t>5304 108th St</t>
  </si>
  <si>
    <t>3618 166th St</t>
  </si>
  <si>
    <t>950 Jennings St</t>
  </si>
  <si>
    <t>15 Post ave</t>
  </si>
  <si>
    <t>3852 10th Ave</t>
  </si>
  <si>
    <t>1 Beach 105th St</t>
  </si>
  <si>
    <t>1419 Jesup Ave</t>
  </si>
  <si>
    <t>8029 Jamaica Ave</t>
  </si>
  <si>
    <t>342 21st St</t>
  </si>
  <si>
    <t>120 W 183rd St</t>
  </si>
  <si>
    <t>11117 Northern Blvd</t>
  </si>
  <si>
    <t>150 W 179th Street</t>
  </si>
  <si>
    <t>1535 Undercliff Ave</t>
  </si>
  <si>
    <t>615 W 164th St</t>
  </si>
  <si>
    <t>152 E 84th St</t>
  </si>
  <si>
    <t>2095 Creston Ave</t>
  </si>
  <si>
    <t>1325 Eastern Pkwy</t>
  </si>
  <si>
    <t>478 Herzl St</t>
  </si>
  <si>
    <t>205 Boerum St</t>
  </si>
  <si>
    <t>205 Boerum st</t>
  </si>
  <si>
    <t>2979 Marion Ave</t>
  </si>
  <si>
    <t>519 E 88th St</t>
  </si>
  <si>
    <t>14707 35th Ave</t>
  </si>
  <si>
    <t>177 Sheffield Ave</t>
  </si>
  <si>
    <t>280 Fort Washington Ave</t>
  </si>
  <si>
    <t>530 W 122nd st</t>
  </si>
  <si>
    <t>2860 Ocean Ave</t>
  </si>
  <si>
    <t>776 Van Duzer St</t>
  </si>
  <si>
    <t>4915 Broadway</t>
  </si>
  <si>
    <t>9602 57th Ave</t>
  </si>
  <si>
    <t>4530 Broadway</t>
  </si>
  <si>
    <t>1695 Lexington Ave</t>
  </si>
  <si>
    <t>600 W 186th St</t>
  </si>
  <si>
    <t>249 Beach 15th St</t>
  </si>
  <si>
    <t>356 Arlington Ave</t>
  </si>
  <si>
    <t>769 Saint Marks Ave</t>
  </si>
  <si>
    <t>87 Taft Ave</t>
  </si>
  <si>
    <t>180 Grafton St</t>
  </si>
  <si>
    <t>16836 88th Ave</t>
  </si>
  <si>
    <t>3325 72nd St</t>
  </si>
  <si>
    <t>4410 30th Ave</t>
  </si>
  <si>
    <t>178 Rockaway PKWY</t>
  </si>
  <si>
    <t>2416 38th Ave</t>
  </si>
  <si>
    <t>160 Prospect Ave</t>
  </si>
  <si>
    <t>122 E 104th St</t>
  </si>
  <si>
    <t>3071 Park Ave</t>
  </si>
  <si>
    <t>588 Decatur St</t>
  </si>
  <si>
    <t>8545 115th St</t>
  </si>
  <si>
    <t>4011 149th St</t>
  </si>
  <si>
    <t>1534 Nelson Ave</t>
  </si>
  <si>
    <t>19215 A 64th Cir</t>
  </si>
  <si>
    <t>24559 148th Dr</t>
  </si>
  <si>
    <t>1350 Park Pl</t>
  </si>
  <si>
    <t>210 Sherman Ave</t>
  </si>
  <si>
    <t>280 Etna St</t>
  </si>
  <si>
    <t>5302 Browvale Ln</t>
  </si>
  <si>
    <t>961 42nd St</t>
  </si>
  <si>
    <t>398 Crescent St</t>
  </si>
  <si>
    <t>1401 Grand Concourse</t>
  </si>
  <si>
    <t>1409 E 98th St</t>
  </si>
  <si>
    <t>1295 5th Ave</t>
  </si>
  <si>
    <t>670 W 193rd St</t>
  </si>
  <si>
    <t>20 Bogardus Pl</t>
  </si>
  <si>
    <t>1617 Eastern Pkwy</t>
  </si>
  <si>
    <t>8607 101st St</t>
  </si>
  <si>
    <t>2922 Grand Concourse</t>
  </si>
  <si>
    <t>121 Sherman Ave</t>
  </si>
  <si>
    <t>90 Downing St</t>
  </si>
  <si>
    <t>9724 93rd St</t>
  </si>
  <si>
    <t>63 Hull St</t>
  </si>
  <si>
    <t>915 Kelly St</t>
  </si>
  <si>
    <t>1752 Sterling Pl</t>
  </si>
  <si>
    <t>5024 31st Ave</t>
  </si>
  <si>
    <t>1570 Eastern Pkwy</t>
  </si>
  <si>
    <t>427 Fort Washington Ave</t>
  </si>
  <si>
    <t>462 E 115th St</t>
  </si>
  <si>
    <t>220 Osgood Ave</t>
  </si>
  <si>
    <t>2099 Forest Ave</t>
  </si>
  <si>
    <t>165 Conover St</t>
  </si>
  <si>
    <t>700 Victory Blvd</t>
  </si>
  <si>
    <t>2526 Bronx Park E</t>
  </si>
  <si>
    <t>176 E 109th St</t>
  </si>
  <si>
    <t>139 W 135th St</t>
  </si>
  <si>
    <t>125 Vermilyea Ave</t>
  </si>
  <si>
    <t>3721 80th St</t>
  </si>
  <si>
    <t>19523 Station Rd</t>
  </si>
  <si>
    <t>2070 Union St</t>
  </si>
  <si>
    <t>143 Jefferson Ave</t>
  </si>
  <si>
    <t>9608 57th Ave</t>
  </si>
  <si>
    <t>13 E 124th St</t>
  </si>
  <si>
    <t>150 50th Ave</t>
  </si>
  <si>
    <t>1330 Intervale Ave</t>
  </si>
  <si>
    <t>1700 Grand Concourse</t>
  </si>
  <si>
    <t>14730 38th Ave</t>
  </si>
  <si>
    <t>2276 2nd Ave</t>
  </si>
  <si>
    <t>13235 Sanford Ave</t>
  </si>
  <si>
    <t>666 W 188th St</t>
  </si>
  <si>
    <t>269 E Burnside Ave</t>
  </si>
  <si>
    <t>200 Haven Ave</t>
  </si>
  <si>
    <t>11814 83rd Ave</t>
  </si>
  <si>
    <t>815 W 180th St</t>
  </si>
  <si>
    <t>456 Richmond Ter</t>
  </si>
  <si>
    <t>364 Stuyvesant Ave</t>
  </si>
  <si>
    <t>226 Naples Ter</t>
  </si>
  <si>
    <t>240 E 18th St</t>
  </si>
  <si>
    <t>716 W 180th St</t>
  </si>
  <si>
    <t>26 E 60th St</t>
  </si>
  <si>
    <t>215 Audubon Ave</t>
  </si>
  <si>
    <t>1050 Anderson Ave</t>
  </si>
  <si>
    <t>15119 34th Ave</t>
  </si>
  <si>
    <t>168 1st Ave</t>
  </si>
  <si>
    <t>215 Mcclellan St</t>
  </si>
  <si>
    <t>4308 40th St</t>
  </si>
  <si>
    <t>24207 149th Ave</t>
  </si>
  <si>
    <t>251 Sherman Ave</t>
  </si>
  <si>
    <t>1950 Clove Rd</t>
  </si>
  <si>
    <t>620 W 189th St</t>
  </si>
  <si>
    <t>14911 Edgewood St</t>
  </si>
  <si>
    <t>7110 34th Ave</t>
  </si>
  <si>
    <t>1401 Hancock St</t>
  </si>
  <si>
    <t>1521 Sheridan Ave</t>
  </si>
  <si>
    <t>22 Post Ave</t>
  </si>
  <si>
    <t>57-63  Wadsworth Ter</t>
  </si>
  <si>
    <t>793 Fairmount Pl</t>
  </si>
  <si>
    <t>5707 Shore Front Pkwy # Pwy</t>
  </si>
  <si>
    <t>12514 Jamaica Ave</t>
  </si>
  <si>
    <t>1680 Madison Ave</t>
  </si>
  <si>
    <t>604 Sutter Ave</t>
  </si>
  <si>
    <t>1460 Pennsylvania Ave</t>
  </si>
  <si>
    <t>125 Sherman Ave</t>
  </si>
  <si>
    <t>30 Dongan Hills Ave</t>
  </si>
  <si>
    <t>251 Fort Washington Ave</t>
  </si>
  <si>
    <t>114 E 104th St</t>
  </si>
  <si>
    <t>2 Seaman Ave</t>
  </si>
  <si>
    <t>500 W 213th St</t>
  </si>
  <si>
    <t>1115 Jerome Ave</t>
  </si>
  <si>
    <t>1319 Newkirk Ave</t>
  </si>
  <si>
    <t>377 E 152nd St</t>
  </si>
  <si>
    <t>412 Thomas S Boyland St</t>
  </si>
  <si>
    <t>645 W 160th St</t>
  </si>
  <si>
    <t>137-20</t>
  </si>
  <si>
    <t>124 Pelican Cir</t>
  </si>
  <si>
    <t>165 W 169th St</t>
  </si>
  <si>
    <t>3750 81st St</t>
  </si>
  <si>
    <t>501 Hegeman Ave</t>
  </si>
  <si>
    <t>5 Saint Marks Pl</t>
  </si>
  <si>
    <t>607 Flatbush Ave</t>
  </si>
  <si>
    <t>3572 Dekalb Ave</t>
  </si>
  <si>
    <t>800 Concourse Vlg W</t>
  </si>
  <si>
    <t>168 E 93rd St</t>
  </si>
  <si>
    <t>315 E 167th St</t>
  </si>
  <si>
    <t>209 Beach 101st St</t>
  </si>
  <si>
    <t>1129 43rd St</t>
  </si>
  <si>
    <t>128 Sherman Ave</t>
  </si>
  <si>
    <t>19 Slosson Ter</t>
  </si>
  <si>
    <t>620 Lenox Ave</t>
  </si>
  <si>
    <t>9728 76th St</t>
  </si>
  <si>
    <t>66 Vermilyea Ave</t>
  </si>
  <si>
    <t>89 Seaman Ave</t>
  </si>
  <si>
    <t>320 Vanderbilt Ave</t>
  </si>
  <si>
    <t>800 Grand Concourse</t>
  </si>
  <si>
    <t>344 E 148th St</t>
  </si>
  <si>
    <t>178 Rockaway Pkwy</t>
  </si>
  <si>
    <t>292 Westervelt Ave</t>
  </si>
  <si>
    <t>1374 York Ave</t>
  </si>
  <si>
    <t>316 Stuyvesant ave</t>
  </si>
  <si>
    <t>19 Hill St</t>
  </si>
  <si>
    <t>1795 Riverside Dr</t>
  </si>
  <si>
    <t>26204 Hungry Harbor Rd</t>
  </si>
  <si>
    <t>61 Wyckoff Ave</t>
  </si>
  <si>
    <t>140 Ralph Ave</t>
  </si>
  <si>
    <t>20 Sky Ln</t>
  </si>
  <si>
    <t>502 W 213th St</t>
  </si>
  <si>
    <t>67 W 107th St</t>
  </si>
  <si>
    <t>1504 Sheridan Ave</t>
  </si>
  <si>
    <t>351 W 121st St</t>
  </si>
  <si>
    <t>1118 Winthrop St</t>
  </si>
  <si>
    <t>490 Williams Ave</t>
  </si>
  <si>
    <t>122 Hamilton Ave</t>
  </si>
  <si>
    <t>5706 Farragut Rd</t>
  </si>
  <si>
    <t>6115 163rd St</t>
  </si>
  <si>
    <t>1600 Metropolitan Ave</t>
  </si>
  <si>
    <t>385 Chestnut St</t>
  </si>
  <si>
    <t>3445 79th St</t>
  </si>
  <si>
    <t>1165 Elton St</t>
  </si>
  <si>
    <t>1035 Anderson Ave</t>
  </si>
  <si>
    <t>940 Fox St</t>
  </si>
  <si>
    <t>601 W 156th St</t>
  </si>
  <si>
    <t>777 Macdonough St</t>
  </si>
  <si>
    <t>336 E 117th St</t>
  </si>
  <si>
    <t>100 W 83rd St</t>
  </si>
  <si>
    <t>3432 43rd ST</t>
  </si>
  <si>
    <t>100 Cooper St</t>
  </si>
  <si>
    <t>495 W 186th St</t>
  </si>
  <si>
    <t>122 E 102nd St</t>
  </si>
  <si>
    <t>289 Vermont St</t>
  </si>
  <si>
    <t>13146 Laurelton Pkwy</t>
  </si>
  <si>
    <t>1088 Sutter Ave</t>
  </si>
  <si>
    <t>901 Walton Ave</t>
  </si>
  <si>
    <t>2825 Grand Concourse</t>
  </si>
  <si>
    <t>7222 Austin St</t>
  </si>
  <si>
    <t>1074 Eastern PKWY</t>
  </si>
  <si>
    <t>699 Pennsylvania Ave</t>
  </si>
  <si>
    <t>74 5th ave</t>
  </si>
  <si>
    <t>99 Osgood Ave</t>
  </si>
  <si>
    <t>1165 Gerard Ave</t>
  </si>
  <si>
    <t>506 Decatur St</t>
  </si>
  <si>
    <t>204 W 149th St</t>
  </si>
  <si>
    <t>23059 Lansing Ave</t>
  </si>
  <si>
    <t>436 W 160th St</t>
  </si>
  <si>
    <t>226 W Tremont Ave</t>
  </si>
  <si>
    <t>1760 Madison Ave</t>
  </si>
  <si>
    <t>9817 Horace Harding Expy</t>
  </si>
  <si>
    <t>650 W 173rd St</t>
  </si>
  <si>
    <t>8903 146th St</t>
  </si>
  <si>
    <t>1020 Walton Ave</t>
  </si>
  <si>
    <t>1098 Grant Ave</t>
  </si>
  <si>
    <t>482 Riverdale Ave</t>
  </si>
  <si>
    <t>601 West 149th Street 54</t>
  </si>
  <si>
    <t>200 Schermerhorn St</t>
  </si>
  <si>
    <t>711 Herkimer St</t>
  </si>
  <si>
    <t>300 10th St</t>
  </si>
  <si>
    <t>552 Academy St</t>
  </si>
  <si>
    <t>15a Chester Pl</t>
  </si>
  <si>
    <t>1422 Nelson Ave</t>
  </si>
  <si>
    <t>648 Kings Hwy</t>
  </si>
  <si>
    <t>9507 Kings Hwy</t>
  </si>
  <si>
    <t>1730 Taylor Ave</t>
  </si>
  <si>
    <t>40 Richman Plz</t>
  </si>
  <si>
    <t>11 Fort George Hl</t>
  </si>
  <si>
    <t>1116 Grant Ave</t>
  </si>
  <si>
    <t>2061 20th St</t>
  </si>
  <si>
    <t>620 Baychester Ave</t>
  </si>
  <si>
    <t>145 Elmira Loop</t>
  </si>
  <si>
    <t>641 New Jersey Ave</t>
  </si>
  <si>
    <t>558 E 191st St</t>
  </si>
  <si>
    <t>1204 Shakespeare Ave</t>
  </si>
  <si>
    <t>35 Saint Nicholas Ter</t>
  </si>
  <si>
    <t>8726 175th St</t>
  </si>
  <si>
    <t>14809 Northern Blvd</t>
  </si>
  <si>
    <t>Po Box 6399</t>
  </si>
  <si>
    <t>455 101st St</t>
  </si>
  <si>
    <t>60 Hamilton Ave</t>
  </si>
  <si>
    <t>68 Fort Greene Pl</t>
  </si>
  <si>
    <t>1815 Everdell Ave</t>
  </si>
  <si>
    <t>682 Alabama Ave</t>
  </si>
  <si>
    <t>3114 42nd St</t>
  </si>
  <si>
    <t>151 Winter Ave</t>
  </si>
  <si>
    <t>121 Seaman Ave</t>
  </si>
  <si>
    <t>2273 Adam Clayton Powell Jr Blvd</t>
  </si>
  <si>
    <t>601 E 12th St</t>
  </si>
  <si>
    <t>917 Ogden Ave</t>
  </si>
  <si>
    <t>1155 E 35th St</t>
  </si>
  <si>
    <t>320 Beach 100th St</t>
  </si>
  <si>
    <t>175 Ardsley Loop</t>
  </si>
  <si>
    <t>35 Sheridan Ave</t>
  </si>
  <si>
    <t>1105 Elder Ave</t>
  </si>
  <si>
    <t>519 W 157th St</t>
  </si>
  <si>
    <t>775 Concourse Vlg E</t>
  </si>
  <si>
    <t>2919 Lewmay Rd</t>
  </si>
  <si>
    <t>1782 Bergen st</t>
  </si>
  <si>
    <t>156 Vernon Ave</t>
  </si>
  <si>
    <t>27 W 181st St</t>
  </si>
  <si>
    <t>266 Nagle Ave</t>
  </si>
  <si>
    <t>38 West St</t>
  </si>
  <si>
    <t>240 Park Hill Ave</t>
  </si>
  <si>
    <t>1908 N Railroad Ave</t>
  </si>
  <si>
    <t>996 Hegeman Ave</t>
  </si>
  <si>
    <t>5433 Metropolitan Ave</t>
  </si>
  <si>
    <t>2510 Collier Ave</t>
  </si>
  <si>
    <t>985 Halsey st</t>
  </si>
  <si>
    <t>3944 24th St</t>
  </si>
  <si>
    <t>450 Schenck Ave</t>
  </si>
  <si>
    <t>460N Brielle Ave</t>
  </si>
  <si>
    <t>14070 Ash Ave</t>
  </si>
  <si>
    <t>294 Sumpter St</t>
  </si>
  <si>
    <t>1520 Sheridan Ave</t>
  </si>
  <si>
    <t>1176 President St</t>
  </si>
  <si>
    <t>466 Alabama Ave</t>
  </si>
  <si>
    <t>1857 Coney Island Ave</t>
  </si>
  <si>
    <t>1309 5th Ave</t>
  </si>
  <si>
    <t>642 Eldert Ln</t>
  </si>
  <si>
    <t>315 Pulaski St</t>
  </si>
  <si>
    <t>1331 Bay St</t>
  </si>
  <si>
    <t>903 Belmont Ave</t>
  </si>
  <si>
    <t>1756 Park Pl</t>
  </si>
  <si>
    <t>254 Seaman Ave</t>
  </si>
  <si>
    <t>409 Saratoga Ave</t>
  </si>
  <si>
    <t>1355 Grand Concourse</t>
  </si>
  <si>
    <t>904 Winthrop St</t>
  </si>
  <si>
    <t>1153 Grand Concourse</t>
  </si>
  <si>
    <t>63 Rockaway Pkwy</t>
  </si>
  <si>
    <t>394 E 98th St</t>
  </si>
  <si>
    <t>2099 Bergen St</t>
  </si>
  <si>
    <t>399 Kosciuszko st</t>
  </si>
  <si>
    <t>147 Rockaway Pkwy</t>
  </si>
  <si>
    <t>790 Eldert Ln</t>
  </si>
  <si>
    <t>1314 Findlay Ave</t>
  </si>
  <si>
    <t>1892 Andrews Ave</t>
  </si>
  <si>
    <t>4536 49th St</t>
  </si>
  <si>
    <t>129 Post Ave</t>
  </si>
  <si>
    <t>414 E 94th St</t>
  </si>
  <si>
    <t>792 Sterling Pl</t>
  </si>
  <si>
    <t>71 Pilling St</t>
  </si>
  <si>
    <t>2757 Claflin Ave</t>
  </si>
  <si>
    <t>235b Jersey St</t>
  </si>
  <si>
    <t>1940 Pacific St</t>
  </si>
  <si>
    <t>9832 57th Ave</t>
  </si>
  <si>
    <t>490 Ocean Parkway</t>
  </si>
  <si>
    <t>490 Ocean Pkwy</t>
  </si>
  <si>
    <t>88 Seaman Ave</t>
  </si>
  <si>
    <t>22 W 25th St</t>
  </si>
  <si>
    <t>14-34 48th Avenue</t>
  </si>
  <si>
    <t>14 Spartan Ave</t>
  </si>
  <si>
    <t>1124 Boynton Ave</t>
  </si>
  <si>
    <t>603 Mother Gaston Blvd</t>
  </si>
  <si>
    <t>180 Parkhill Ave</t>
  </si>
  <si>
    <t>377 Chauncey St</t>
  </si>
  <si>
    <t>533 Bay St</t>
  </si>
  <si>
    <t>664 W 161st St</t>
  </si>
  <si>
    <t>1933 Fulton St</t>
  </si>
  <si>
    <t>260 Audubon Ave</t>
  </si>
  <si>
    <t>760 Eldert Ln</t>
  </si>
  <si>
    <t>1371 Clove Rd</t>
  </si>
  <si>
    <t>22 E 112th ST</t>
  </si>
  <si>
    <t>35 E 94th St</t>
  </si>
  <si>
    <t>403 Kosciuszko St</t>
  </si>
  <si>
    <t>233 E 92nd St</t>
  </si>
  <si>
    <t>785 Belmont Ave</t>
  </si>
  <si>
    <t>735 Lincoln Ave</t>
  </si>
  <si>
    <t>38 Post Avenue</t>
  </si>
  <si>
    <t>9728 57th Ave</t>
  </si>
  <si>
    <t>2505 Bedford Ave</t>
  </si>
  <si>
    <t>433 Halsey St</t>
  </si>
  <si>
    <t>9838 57th Ave</t>
  </si>
  <si>
    <t>14445 35th Ave</t>
  </si>
  <si>
    <t>1818 Anthony Ave</t>
  </si>
  <si>
    <t>221 E 122nd St</t>
  </si>
  <si>
    <t>89-95 Seaman Avenue</t>
  </si>
  <si>
    <t>250 W 146th St</t>
  </si>
  <si>
    <t>601 W 190th St</t>
  </si>
  <si>
    <t>747 Macdonough St</t>
  </si>
  <si>
    <t>666 Dumont Ave</t>
  </si>
  <si>
    <t>160 E 88th St</t>
  </si>
  <si>
    <t>209 Hancock St</t>
  </si>
  <si>
    <t>2181 Pacific st</t>
  </si>
  <si>
    <t>86 Forbell St</t>
  </si>
  <si>
    <t>941 Hoe Ave</t>
  </si>
  <si>
    <t>1049 Grand Concourse</t>
  </si>
  <si>
    <t>1775 Walton Avenue</t>
  </si>
  <si>
    <t>1563 Pitkin Ave</t>
  </si>
  <si>
    <t>10 E 43rd St</t>
  </si>
  <si>
    <t>1195 Anderson Ave</t>
  </si>
  <si>
    <t>269 E 4th St</t>
  </si>
  <si>
    <t>1652 Park ave</t>
  </si>
  <si>
    <t>256 Seaman Ave</t>
  </si>
  <si>
    <t>34 Hillside Ave</t>
  </si>
  <si>
    <t>125 Seaman Ave</t>
  </si>
  <si>
    <t>244 E 117th St</t>
  </si>
  <si>
    <t>95 Seaman Ave</t>
  </si>
  <si>
    <t>879 Cypress Ave</t>
  </si>
  <si>
    <t>50 Linden Blvd</t>
  </si>
  <si>
    <t>1919 Eastern Pkwy</t>
  </si>
  <si>
    <t>250 E 96th St</t>
  </si>
  <si>
    <t>1215 Grand Concourse</t>
  </si>
  <si>
    <t>540 E 23rd St</t>
  </si>
  <si>
    <t>272 Sherman Ave</t>
  </si>
  <si>
    <t>275 Fort Washington Ave</t>
  </si>
  <si>
    <t>3366 Decatur Ave</t>
  </si>
  <si>
    <t>1330 Fulton St</t>
  </si>
  <si>
    <t>1764 Anthony Ave</t>
  </si>
  <si>
    <t>7 Hegeman Ave</t>
  </si>
  <si>
    <t>219 E 196th St</t>
  </si>
  <si>
    <t>490 E 23rd St</t>
  </si>
  <si>
    <t>248 Wadsworth Ave</t>
  </si>
  <si>
    <t>1412 New York Ave</t>
  </si>
  <si>
    <t>68 MacDougal St</t>
  </si>
  <si>
    <t>482 Prospect pl</t>
  </si>
  <si>
    <t>1468 5th Ave</t>
  </si>
  <si>
    <t>13912 34th Rd</t>
  </si>
  <si>
    <t>529 W 189th St</t>
  </si>
  <si>
    <t>426 E 118th st</t>
  </si>
  <si>
    <t>38 Post Ave</t>
  </si>
  <si>
    <t>540 Fort Washington Ave</t>
  </si>
  <si>
    <t>3343 Sedgwick Ave</t>
  </si>
  <si>
    <t>510 W 55th St</t>
  </si>
  <si>
    <t>1062 Saint Nicholas Ave</t>
  </si>
  <si>
    <t>6040 Huxley Ave</t>
  </si>
  <si>
    <t>205 Sumpter St</t>
  </si>
  <si>
    <t>1846 Anthony Ave</t>
  </si>
  <si>
    <t>611 Flatbush Ave</t>
  </si>
  <si>
    <t>712 W 176th St</t>
  </si>
  <si>
    <t>140 Riverside dr</t>
  </si>
  <si>
    <t>20916 86th drive</t>
  </si>
  <si>
    <t>45 W 139th St</t>
  </si>
  <si>
    <t>570 W 182nd St</t>
  </si>
  <si>
    <t>4115 50th Ave</t>
  </si>
  <si>
    <t>231 E 117th st</t>
  </si>
  <si>
    <t>102 Suffolk St</t>
  </si>
  <si>
    <t>220 Cabrini Blvd</t>
  </si>
  <si>
    <t>200 Haven ave</t>
  </si>
  <si>
    <t>455 Fort Washington Ave</t>
  </si>
  <si>
    <t>621 W 189th St</t>
  </si>
  <si>
    <t>436 Fort Washington Ave</t>
  </si>
  <si>
    <t>285 Schenectady Ave</t>
  </si>
  <si>
    <t>701 W 177th St</t>
  </si>
  <si>
    <t>570 Fort Washington Ave</t>
  </si>
  <si>
    <t>6G</t>
  </si>
  <si>
    <t>27B</t>
  </si>
  <si>
    <t>2nd fl</t>
  </si>
  <si>
    <t>Bsmnt</t>
  </si>
  <si>
    <t>2R</t>
  </si>
  <si>
    <t>1L</t>
  </si>
  <si>
    <t>1B</t>
  </si>
  <si>
    <t>1st fl</t>
  </si>
  <si>
    <t>1c</t>
  </si>
  <si>
    <t>9E</t>
  </si>
  <si>
    <t>2A</t>
  </si>
  <si>
    <t>3R</t>
  </si>
  <si>
    <t>2nd floor</t>
  </si>
  <si>
    <t>C2</t>
  </si>
  <si>
    <t>3G</t>
  </si>
  <si>
    <t>5D</t>
  </si>
  <si>
    <t>4B</t>
  </si>
  <si>
    <t>23M</t>
  </si>
  <si>
    <t>2G</t>
  </si>
  <si>
    <t>6R</t>
  </si>
  <si>
    <t>18G</t>
  </si>
  <si>
    <t>1R</t>
  </si>
  <si>
    <t>15B</t>
  </si>
  <si>
    <t>5B</t>
  </si>
  <si>
    <t>2B</t>
  </si>
  <si>
    <t>4-C</t>
  </si>
  <si>
    <t>2L</t>
  </si>
  <si>
    <t>B</t>
  </si>
  <si>
    <t>6E</t>
  </si>
  <si>
    <t>3F</t>
  </si>
  <si>
    <t>4E</t>
  </si>
  <si>
    <t>4F</t>
  </si>
  <si>
    <t>1D</t>
  </si>
  <si>
    <t>1A</t>
  </si>
  <si>
    <t>2nd Floor</t>
  </si>
  <si>
    <t>#6A</t>
  </si>
  <si>
    <t>1F</t>
  </si>
  <si>
    <t>5E</t>
  </si>
  <si>
    <t>A3</t>
  </si>
  <si>
    <t>2I</t>
  </si>
  <si>
    <t>C8</t>
  </si>
  <si>
    <t>6M</t>
  </si>
  <si>
    <t>1st floor</t>
  </si>
  <si>
    <t>7A</t>
  </si>
  <si>
    <t>3i</t>
  </si>
  <si>
    <t>3B</t>
  </si>
  <si>
    <t>23C</t>
  </si>
  <si>
    <t>5S</t>
  </si>
  <si>
    <t>4C</t>
  </si>
  <si>
    <t>24B</t>
  </si>
  <si>
    <t>5H</t>
  </si>
  <si>
    <t>5G</t>
  </si>
  <si>
    <t>6A</t>
  </si>
  <si>
    <t>4G</t>
  </si>
  <si>
    <t>2F</t>
  </si>
  <si>
    <t>4H</t>
  </si>
  <si>
    <t>3rd Floor</t>
  </si>
  <si>
    <t>13G</t>
  </si>
  <si>
    <t>3L</t>
  </si>
  <si>
    <t>C6</t>
  </si>
  <si>
    <t>14B</t>
  </si>
  <si>
    <t>B1</t>
  </si>
  <si>
    <t>2W</t>
  </si>
  <si>
    <t># 2B</t>
  </si>
  <si>
    <t>3E</t>
  </si>
  <si>
    <t>D5</t>
  </si>
  <si>
    <t>6V</t>
  </si>
  <si>
    <t>!</t>
  </si>
  <si>
    <t>F3</t>
  </si>
  <si>
    <t>BSMT</t>
  </si>
  <si>
    <t>2H</t>
  </si>
  <si>
    <t>1Q</t>
  </si>
  <si>
    <t>F22</t>
  </si>
  <si>
    <t>A66</t>
  </si>
  <si>
    <t>4J</t>
  </si>
  <si>
    <t>Apt. 1G</t>
  </si>
  <si>
    <t>4D</t>
  </si>
  <si>
    <t>5J</t>
  </si>
  <si>
    <t>5A</t>
  </si>
  <si>
    <t>Basement</t>
  </si>
  <si>
    <t>4L</t>
  </si>
  <si>
    <t>9C</t>
  </si>
  <si>
    <t>2J</t>
  </si>
  <si>
    <t>1st Floor</t>
  </si>
  <si>
    <t>6C</t>
  </si>
  <si>
    <t>1205W</t>
  </si>
  <si>
    <t>5F</t>
  </si>
  <si>
    <t>6I</t>
  </si>
  <si>
    <t>7K</t>
  </si>
  <si>
    <t>5L</t>
  </si>
  <si>
    <t>#3R</t>
  </si>
  <si>
    <t>3C</t>
  </si>
  <si>
    <t>4R</t>
  </si>
  <si>
    <t>3rd FL</t>
  </si>
  <si>
    <t>2C</t>
  </si>
  <si>
    <t>3A</t>
  </si>
  <si>
    <t>4A</t>
  </si>
  <si>
    <t>17K</t>
  </si>
  <si>
    <t>7F</t>
  </si>
  <si>
    <t>1M</t>
  </si>
  <si>
    <t>1 Rm 2</t>
  </si>
  <si>
    <t>16C</t>
  </si>
  <si>
    <t>1 floor</t>
  </si>
  <si>
    <t>3K</t>
  </si>
  <si>
    <t>#1</t>
  </si>
  <si>
    <t>3N</t>
  </si>
  <si>
    <t>#3B</t>
  </si>
  <si>
    <t>331E</t>
  </si>
  <si>
    <t>10M</t>
  </si>
  <si>
    <t>12H</t>
  </si>
  <si>
    <t>4 I</t>
  </si>
  <si>
    <t>3J</t>
  </si>
  <si>
    <t>B2</t>
  </si>
  <si>
    <t>7H</t>
  </si>
  <si>
    <t>3AS</t>
  </si>
  <si>
    <t>4a</t>
  </si>
  <si>
    <t>9F</t>
  </si>
  <si>
    <t>1E</t>
  </si>
  <si>
    <t>Apt. 2</t>
  </si>
  <si>
    <t>MC</t>
  </si>
  <si>
    <t>1h</t>
  </si>
  <si>
    <t>1G</t>
  </si>
  <si>
    <t>9A</t>
  </si>
  <si>
    <t>B7</t>
  </si>
  <si>
    <t>Apt 5T</t>
  </si>
  <si>
    <t>20F</t>
  </si>
  <si>
    <t>2N</t>
  </si>
  <si>
    <t>2D</t>
  </si>
  <si>
    <t>5N</t>
  </si>
  <si>
    <t>Apt 3</t>
  </si>
  <si>
    <t>30c</t>
  </si>
  <si>
    <t>1 R</t>
  </si>
  <si>
    <t>Apt 4R</t>
  </si>
  <si>
    <t>20J</t>
  </si>
  <si>
    <t>A4</t>
  </si>
  <si>
    <t>Apt. 1B</t>
  </si>
  <si>
    <t>apt #2</t>
  </si>
  <si>
    <t>1C</t>
  </si>
  <si>
    <t>3H</t>
  </si>
  <si>
    <t>B4</t>
  </si>
  <si>
    <t>9j</t>
  </si>
  <si>
    <t>2b</t>
  </si>
  <si>
    <t>B15</t>
  </si>
  <si>
    <t>2 Floor</t>
  </si>
  <si>
    <t>Apt A4</t>
  </si>
  <si>
    <t>7R</t>
  </si>
  <si>
    <t>12F</t>
  </si>
  <si>
    <t>2E</t>
  </si>
  <si>
    <t>#1F</t>
  </si>
  <si>
    <t>4b</t>
  </si>
  <si>
    <t>Floor 2</t>
  </si>
  <si>
    <t>Apt 7N</t>
  </si>
  <si>
    <t>32B</t>
  </si>
  <si>
    <t>J</t>
  </si>
  <si>
    <t>17A</t>
  </si>
  <si>
    <t>4U</t>
  </si>
  <si>
    <t>2T</t>
  </si>
  <si>
    <t>2K</t>
  </si>
  <si>
    <t>6H</t>
  </si>
  <si>
    <t>14A</t>
  </si>
  <si>
    <t>4I</t>
  </si>
  <si>
    <t>GG</t>
  </si>
  <si>
    <t>3-A</t>
  </si>
  <si>
    <t>2P</t>
  </si>
  <si>
    <t>Apt. 1C</t>
  </si>
  <si>
    <t>7E</t>
  </si>
  <si>
    <t>24D</t>
  </si>
  <si>
    <t>6-L</t>
  </si>
  <si>
    <t>10G</t>
  </si>
  <si>
    <t>1-3</t>
  </si>
  <si>
    <t>3 FL</t>
  </si>
  <si>
    <t>Bw</t>
  </si>
  <si>
    <t>3P</t>
  </si>
  <si>
    <t>N15</t>
  </si>
  <si>
    <t>E</t>
  </si>
  <si>
    <t>6D</t>
  </si>
  <si>
    <t>11D</t>
  </si>
  <si>
    <t>K</t>
  </si>
  <si>
    <t>3Q</t>
  </si>
  <si>
    <t>10C</t>
  </si>
  <si>
    <t>Apt. #5-B</t>
  </si>
  <si>
    <t>20H</t>
  </si>
  <si>
    <t>5 H</t>
  </si>
  <si>
    <t>#8H</t>
  </si>
  <si>
    <t>4T</t>
  </si>
  <si>
    <t>5T</t>
  </si>
  <si>
    <t>1-R</t>
  </si>
  <si>
    <t>1st Fl</t>
  </si>
  <si>
    <t>Apt 6A</t>
  </si>
  <si>
    <t>4O</t>
  </si>
  <si>
    <t>7D</t>
  </si>
  <si>
    <t>5s</t>
  </si>
  <si>
    <t>11P</t>
  </si>
  <si>
    <t>1H</t>
  </si>
  <si>
    <t>B3</t>
  </si>
  <si>
    <t>6B</t>
  </si>
  <si>
    <t>1b</t>
  </si>
  <si>
    <t>15J</t>
  </si>
  <si>
    <t>11H</t>
  </si>
  <si>
    <t>First Floor</t>
  </si>
  <si>
    <t>4N</t>
  </si>
  <si>
    <t>3f</t>
  </si>
  <si>
    <t>4-G</t>
  </si>
  <si>
    <t>5x</t>
  </si>
  <si>
    <t>Bsmt.</t>
  </si>
  <si>
    <t>6L</t>
  </si>
  <si>
    <t>6F</t>
  </si>
  <si>
    <t>Apt 4J</t>
  </si>
  <si>
    <t>FL 3</t>
  </si>
  <si>
    <t>8E</t>
  </si>
  <si>
    <t>3D</t>
  </si>
  <si>
    <t>Apt. 6S</t>
  </si>
  <si>
    <t>D5C</t>
  </si>
  <si>
    <t>1U</t>
  </si>
  <si>
    <t>0J</t>
  </si>
  <si>
    <t>Fl 1</t>
  </si>
  <si>
    <t>6yy</t>
  </si>
  <si>
    <t>22K</t>
  </si>
  <si>
    <t>5C</t>
  </si>
  <si>
    <t>7C</t>
  </si>
  <si>
    <t>3rd floor</t>
  </si>
  <si>
    <t>1St Floor</t>
  </si>
  <si>
    <t>13P</t>
  </si>
  <si>
    <t>14C</t>
  </si>
  <si>
    <t>#2</t>
  </si>
  <si>
    <t>#8C</t>
  </si>
  <si>
    <t>BC2</t>
  </si>
  <si>
    <t>41A</t>
  </si>
  <si>
    <t>11B</t>
  </si>
  <si>
    <t>C3</t>
  </si>
  <si>
    <t>basement</t>
  </si>
  <si>
    <t>B5</t>
  </si>
  <si>
    <t>12E</t>
  </si>
  <si>
    <t>10J</t>
  </si>
  <si>
    <t>205W</t>
  </si>
  <si>
    <t>2d</t>
  </si>
  <si>
    <t>L503</t>
  </si>
  <si>
    <t>4-2k</t>
  </si>
  <si>
    <t>10S</t>
  </si>
  <si>
    <t>13B</t>
  </si>
  <si>
    <t>Unit 1</t>
  </si>
  <si>
    <t>5M</t>
  </si>
  <si>
    <t>8H</t>
  </si>
  <si>
    <t>D9</t>
  </si>
  <si>
    <t>1st FL</t>
  </si>
  <si>
    <t>211W</t>
  </si>
  <si>
    <t>5c</t>
  </si>
  <si>
    <t>3a</t>
  </si>
  <si>
    <t>8N</t>
  </si>
  <si>
    <t>17L</t>
  </si>
  <si>
    <t>2V</t>
  </si>
  <si>
    <t>6S</t>
  </si>
  <si>
    <t>15C</t>
  </si>
  <si>
    <t>3c</t>
  </si>
  <si>
    <t>321E</t>
  </si>
  <si>
    <t>C</t>
  </si>
  <si>
    <t>Apt 2</t>
  </si>
  <si>
    <t>C22</t>
  </si>
  <si>
    <t>bsmnt</t>
  </si>
  <si>
    <t>10E</t>
  </si>
  <si>
    <t>3W</t>
  </si>
  <si>
    <t>10-O</t>
  </si>
  <si>
    <t>C7</t>
  </si>
  <si>
    <t>D1</t>
  </si>
  <si>
    <t>14S</t>
  </si>
  <si>
    <t>Floor 1</t>
  </si>
  <si>
    <t>8D</t>
  </si>
  <si>
    <t>LT</t>
  </si>
  <si>
    <t>6CN</t>
  </si>
  <si>
    <t>14L</t>
  </si>
  <si>
    <t>4e</t>
  </si>
  <si>
    <t>#2D</t>
  </si>
  <si>
    <t>13A</t>
  </si>
  <si>
    <t>3 E</t>
  </si>
  <si>
    <t>16N</t>
  </si>
  <si>
    <t>1g</t>
  </si>
  <si>
    <t>413E</t>
  </si>
  <si>
    <t>4M</t>
  </si>
  <si>
    <t>D</t>
  </si>
  <si>
    <t>3T</t>
  </si>
  <si>
    <t>B31</t>
  </si>
  <si>
    <t>18B</t>
  </si>
  <si>
    <t>C4</t>
  </si>
  <si>
    <t>15F</t>
  </si>
  <si>
    <t>A-7</t>
  </si>
  <si>
    <t>7G</t>
  </si>
  <si>
    <t>1416W</t>
  </si>
  <si>
    <t>C1</t>
  </si>
  <si>
    <t>1st</t>
  </si>
  <si>
    <t>16H</t>
  </si>
  <si>
    <t>12B</t>
  </si>
  <si>
    <t>2 G</t>
  </si>
  <si>
    <t>2-0</t>
  </si>
  <si>
    <t>B-2</t>
  </si>
  <si>
    <t>14N</t>
  </si>
  <si>
    <t>30A</t>
  </si>
  <si>
    <t>21E</t>
  </si>
  <si>
    <t>19L</t>
  </si>
  <si>
    <t>6 O</t>
  </si>
  <si>
    <t>6U</t>
  </si>
  <si>
    <t>2r</t>
  </si>
  <si>
    <t>8C</t>
  </si>
  <si>
    <t>206W</t>
  </si>
  <si>
    <t>14H</t>
  </si>
  <si>
    <t>1st floor apt 3</t>
  </si>
  <si>
    <t>8G</t>
  </si>
  <si>
    <t>F2</t>
  </si>
  <si>
    <t>BC</t>
  </si>
  <si>
    <t>D4</t>
  </si>
  <si>
    <t>Apt 3D</t>
  </si>
  <si>
    <t>apt 2F</t>
  </si>
  <si>
    <t>#2H</t>
  </si>
  <si>
    <t>3r</t>
  </si>
  <si>
    <t>5K</t>
  </si>
  <si>
    <t>3rd fl</t>
  </si>
  <si>
    <t>115E</t>
  </si>
  <si>
    <t>15L</t>
  </si>
  <si>
    <t>204W</t>
  </si>
  <si>
    <t>#1L</t>
  </si>
  <si>
    <t>2nd Fl.</t>
  </si>
  <si>
    <t>8A</t>
  </si>
  <si>
    <t>6-K</t>
  </si>
  <si>
    <t>17E</t>
  </si>
  <si>
    <t>A2</t>
  </si>
  <si>
    <t>8L</t>
  </si>
  <si>
    <t>2nd Fl</t>
  </si>
  <si>
    <t>12L</t>
  </si>
  <si>
    <t>7M</t>
  </si>
  <si>
    <t>7L</t>
  </si>
  <si>
    <t>Apt 3B</t>
  </si>
  <si>
    <t>Apt 4</t>
  </si>
  <si>
    <t>10L</t>
  </si>
  <si>
    <t>17N</t>
  </si>
  <si>
    <t>4i</t>
  </si>
  <si>
    <t>4K</t>
  </si>
  <si>
    <t>14D</t>
  </si>
  <si>
    <t>6J</t>
  </si>
  <si>
    <t>Apt 5</t>
  </si>
  <si>
    <t>Privat house</t>
  </si>
  <si>
    <t>6K</t>
  </si>
  <si>
    <t>10D</t>
  </si>
  <si>
    <t>1-A</t>
  </si>
  <si>
    <t>1K</t>
  </si>
  <si>
    <t>E5</t>
  </si>
  <si>
    <t>2-B</t>
  </si>
  <si>
    <t>15A</t>
  </si>
  <si>
    <t>20B</t>
  </si>
  <si>
    <t>18J</t>
  </si>
  <si>
    <t>5/3L</t>
  </si>
  <si>
    <t>23K</t>
  </si>
  <si>
    <t>9B</t>
  </si>
  <si>
    <t>PBH</t>
  </si>
  <si>
    <t>4-H</t>
  </si>
  <si>
    <t>Arverne</t>
  </si>
  <si>
    <t>Far Rockaway</t>
  </si>
  <si>
    <t>Jamaica</t>
  </si>
  <si>
    <t>South Ozone Park</t>
  </si>
  <si>
    <t>South Richmond Hill</t>
  </si>
  <si>
    <t>Ozone Park</t>
  </si>
  <si>
    <t>Saint Albans</t>
  </si>
  <si>
    <t>Middle Village</t>
  </si>
  <si>
    <t>Woodside</t>
  </si>
  <si>
    <t>Corona</t>
  </si>
  <si>
    <t>Flushing</t>
  </si>
  <si>
    <t>College Point</t>
  </si>
  <si>
    <t>Brooklyn</t>
  </si>
  <si>
    <t>Astoria</t>
  </si>
  <si>
    <t>Sunnyside</t>
  </si>
  <si>
    <t>Bronx</t>
  </si>
  <si>
    <t>Staten Island</t>
  </si>
  <si>
    <t>New York</t>
  </si>
  <si>
    <t>Ridgewood</t>
  </si>
  <si>
    <t>Glendale</t>
  </si>
  <si>
    <t>Kew Gardens</t>
  </si>
  <si>
    <t>Queens Village</t>
  </si>
  <si>
    <t>Hollis</t>
  </si>
  <si>
    <t>Long Island City</t>
  </si>
  <si>
    <t>Springfield Gardens</t>
  </si>
  <si>
    <t>Cambria Heights</t>
  </si>
  <si>
    <t>Rego Park</t>
  </si>
  <si>
    <t>Fresh Meadows</t>
  </si>
  <si>
    <t>Rosedale</t>
  </si>
  <si>
    <t>Laurelton</t>
  </si>
  <si>
    <t>Rockaway Beach</t>
  </si>
  <si>
    <t>Maspeth</t>
  </si>
  <si>
    <t>BROOKLYN</t>
  </si>
  <si>
    <t>NEW YORK</t>
  </si>
  <si>
    <t>Whitestone</t>
  </si>
  <si>
    <t>Buffalo</t>
  </si>
  <si>
    <t>Woodhaven</t>
  </si>
  <si>
    <t>Rockaway Park</t>
  </si>
  <si>
    <t>Jackson Heights</t>
  </si>
  <si>
    <t>Richmond Hill</t>
  </si>
  <si>
    <t>Little Neck</t>
  </si>
  <si>
    <t>staten island</t>
  </si>
  <si>
    <t>Jackson Hts</t>
  </si>
  <si>
    <t>Forest Hills</t>
  </si>
  <si>
    <t>Yes</t>
  </si>
  <si>
    <t>No</t>
  </si>
  <si>
    <t xml:space="preserve"> </t>
  </si>
  <si>
    <t>DHCI Form</t>
  </si>
  <si>
    <t>None</t>
  </si>
  <si>
    <t>Active CA/SNAP</t>
  </si>
  <si>
    <t>LT-071267-18/QU</t>
  </si>
  <si>
    <t>no case</t>
  </si>
  <si>
    <t>LT-062052-19/QU</t>
  </si>
  <si>
    <t>LT-066764-19/QU</t>
  </si>
  <si>
    <t>LT-066533-19/QU</t>
  </si>
  <si>
    <t>LT-063416-19/QU</t>
  </si>
  <si>
    <t>LT-000560-19/QU</t>
  </si>
  <si>
    <t>LT-063334-19/QU</t>
  </si>
  <si>
    <t>LT-52542-19/QU</t>
  </si>
  <si>
    <t>LT-068320-19/QU</t>
  </si>
  <si>
    <t>LT-063820-19/QU</t>
  </si>
  <si>
    <t>LT-070115-19/QU</t>
  </si>
  <si>
    <t>LT-068925-18/QU</t>
  </si>
  <si>
    <t>LT-064508-19/QU</t>
  </si>
  <si>
    <t>LT-067949-19/QU</t>
  </si>
  <si>
    <t>LT-067466-19/KI</t>
  </si>
  <si>
    <t>LT-001228-19/KI</t>
  </si>
  <si>
    <t>GX-110098-OM</t>
  </si>
  <si>
    <t>LT-070822-19/QU</t>
  </si>
  <si>
    <t>LT-070113-19/QU</t>
  </si>
  <si>
    <t>LT-068615-19/QU</t>
  </si>
  <si>
    <t>LT-077330-19/KI</t>
  </si>
  <si>
    <t>GS-210008-OD</t>
  </si>
  <si>
    <t>GS-2100050-D</t>
  </si>
  <si>
    <t>LT-075388-19/KI</t>
  </si>
  <si>
    <t>No case</t>
  </si>
  <si>
    <t>No Case</t>
  </si>
  <si>
    <t>LT-067359-19/KI</t>
  </si>
  <si>
    <t>LT-067539-19/KI</t>
  </si>
  <si>
    <t>LT-067366-19/KI</t>
  </si>
  <si>
    <t>LT-065327-19/KI</t>
  </si>
  <si>
    <t>LT-063403-19/KI</t>
  </si>
  <si>
    <t>LT-084651-19/KI</t>
  </si>
  <si>
    <t>LT-071742-19/KI</t>
  </si>
  <si>
    <t>none</t>
  </si>
  <si>
    <t>LT-073240-19/KI</t>
  </si>
  <si>
    <t>LT-001639-19/KI</t>
  </si>
  <si>
    <t>LT-076759-19/KI</t>
  </si>
  <si>
    <t>LT-082555-17/KI</t>
  </si>
  <si>
    <t>LT-081444-19/KI</t>
  </si>
  <si>
    <t>040820/2019</t>
  </si>
  <si>
    <t>LT-072687-19/KI</t>
  </si>
  <si>
    <t>none yet</t>
  </si>
  <si>
    <t>LT-074475-19/KI</t>
  </si>
  <si>
    <t>LT-081216-18/KI</t>
  </si>
  <si>
    <t>LT-062947-19/QU</t>
  </si>
  <si>
    <t>LT-065098-19/QU</t>
  </si>
  <si>
    <t>LT-027333-19/BX</t>
  </si>
  <si>
    <t>LT-016041-19/BX</t>
  </si>
  <si>
    <t>LT-032541-19/BX</t>
  </si>
  <si>
    <t>LT-031800-19/BX</t>
  </si>
  <si>
    <t>LT-032272-19/BX</t>
  </si>
  <si>
    <t>LT-052202-19/RI</t>
  </si>
  <si>
    <t>LT-052439-19/RI</t>
  </si>
  <si>
    <t>LT-051757-19/RI</t>
  </si>
  <si>
    <t>LT-066704-19/NY</t>
  </si>
  <si>
    <t>LT-053303-18/NY</t>
  </si>
  <si>
    <t>LT-064690-19/NY</t>
  </si>
  <si>
    <t>LT-72081-19/NY</t>
  </si>
  <si>
    <t>LT-080223-19/KI</t>
  </si>
  <si>
    <t>LT-059113-19/KI</t>
  </si>
  <si>
    <t>LT-075409-18/KI</t>
  </si>
  <si>
    <t>040822/2019</t>
  </si>
  <si>
    <t>LT-080269-19/KI</t>
  </si>
  <si>
    <t>LT-063862-19/KI</t>
  </si>
  <si>
    <t>HS-610194-S</t>
  </si>
  <si>
    <t>LT-085791-18/KI</t>
  </si>
  <si>
    <t>LT-075243-19/KI</t>
  </si>
  <si>
    <t>LT-077003-19/KI</t>
  </si>
  <si>
    <t>LT-000871-19/QU</t>
  </si>
  <si>
    <t>LT-067737-18/BX</t>
  </si>
  <si>
    <t>HP-410071-OM</t>
  </si>
  <si>
    <t>LT-062060-19/QU</t>
  </si>
  <si>
    <t>LT-067073-19/QU</t>
  </si>
  <si>
    <t>LT-065617-19/QU</t>
  </si>
  <si>
    <t>LT-018293-19/KI</t>
  </si>
  <si>
    <t>LT-067126-19/QU</t>
  </si>
  <si>
    <t>LT-057620-19/KI</t>
  </si>
  <si>
    <t>LT-70811-19/NY</t>
  </si>
  <si>
    <t>LT-042721-19/BX</t>
  </si>
  <si>
    <t>LT-069037-19/QU</t>
  </si>
  <si>
    <t>Not available yet</t>
  </si>
  <si>
    <t>LT-050940-19/RI</t>
  </si>
  <si>
    <t>LT-064080-19/KI</t>
  </si>
  <si>
    <t>LT-073674-19/KI</t>
  </si>
  <si>
    <t>LT-026720-19/BX</t>
  </si>
  <si>
    <t>LT-061914-19/QU</t>
  </si>
  <si>
    <t>LT-082957-19/KI</t>
  </si>
  <si>
    <t>LT-059162-19/QU</t>
  </si>
  <si>
    <t>LT-063895-18/BX</t>
  </si>
  <si>
    <t>LT-081179-19/KI</t>
  </si>
  <si>
    <t>LT-051869-19/KI</t>
  </si>
  <si>
    <t>HT-630020-RO</t>
  </si>
  <si>
    <t>LT-081553-19/KI</t>
  </si>
  <si>
    <t>LT-062604-19/QU</t>
  </si>
  <si>
    <t>LT-017910-18/KI</t>
  </si>
  <si>
    <t>LT-074854-17/KI</t>
  </si>
  <si>
    <t>LT-063265-19/QU</t>
  </si>
  <si>
    <t>LT-072171-19/KI</t>
  </si>
  <si>
    <t>LT-068609-19/QU</t>
  </si>
  <si>
    <t>LT-58454-19/QU</t>
  </si>
  <si>
    <t>LT-073248-19/KI</t>
  </si>
  <si>
    <t>LT-051247-17/KI</t>
  </si>
  <si>
    <t>LT-012529-19/QU</t>
  </si>
  <si>
    <t>LT-050232-17/QU</t>
  </si>
  <si>
    <t>LT-063867-19/QU</t>
  </si>
  <si>
    <t>LT-019248-19/BX</t>
  </si>
  <si>
    <t>LT-033520-19/BX</t>
  </si>
  <si>
    <t>LT-063650-19/QU</t>
  </si>
  <si>
    <t>40820/2019</t>
  </si>
  <si>
    <t>LT-020509-19/BX</t>
  </si>
  <si>
    <t>LT-067464-19/QU</t>
  </si>
  <si>
    <t>LT-000478-19/QU</t>
  </si>
  <si>
    <t>LT-054693-19/QU</t>
  </si>
  <si>
    <t>LT-071559-19/KI</t>
  </si>
  <si>
    <t>LT-041506-19/BX</t>
  </si>
  <si>
    <t>LT-006187-19/KI</t>
  </si>
  <si>
    <t>LT-071469-19/KI</t>
  </si>
  <si>
    <t>LT-062805-19/QU</t>
  </si>
  <si>
    <t>LT-060626-19/QU</t>
  </si>
  <si>
    <t>LT-052114-19/NY</t>
  </si>
  <si>
    <t>LT-064064-19/NY</t>
  </si>
  <si>
    <t>LT-033527-19/BX</t>
  </si>
  <si>
    <t>LT-077604-19/KI</t>
  </si>
  <si>
    <t>LT-050184-19/NY</t>
  </si>
  <si>
    <t>LT-068027-19/QU</t>
  </si>
  <si>
    <t>LT-080838-19/KI</t>
  </si>
  <si>
    <t>LT-044109-18/BX</t>
  </si>
  <si>
    <t>LT-053171-18/RI</t>
  </si>
  <si>
    <t>LT-066810-19/QU</t>
  </si>
  <si>
    <t>LT-063360-19/QU</t>
  </si>
  <si>
    <t>LT-063715-19/QU</t>
  </si>
  <si>
    <t>LT-065806-19/QU</t>
  </si>
  <si>
    <t>GT-310007-RO</t>
  </si>
  <si>
    <t>GQ-610075-OR</t>
  </si>
  <si>
    <t>LT-037856-19/BX</t>
  </si>
  <si>
    <t>LT-065982-19/QU</t>
  </si>
  <si>
    <t>LT-053104-19/QU</t>
  </si>
  <si>
    <t>LT-080097-19/KI</t>
  </si>
  <si>
    <t>LT-050728-19/RI</t>
  </si>
  <si>
    <t>LT-071749-19/QU</t>
  </si>
  <si>
    <t>LT-69787-19/NY</t>
  </si>
  <si>
    <t>LT-052792-19/QU</t>
  </si>
  <si>
    <t>LT-079142-19/KI</t>
  </si>
  <si>
    <t>LT-072591-19/KI</t>
  </si>
  <si>
    <t>LT-064635-19/QU</t>
  </si>
  <si>
    <t>LT-000749-19/KI</t>
  </si>
  <si>
    <t>GM-410027-RO</t>
  </si>
  <si>
    <t>LT-057884-19/NY</t>
  </si>
  <si>
    <t>LT-081194-19/KI</t>
  </si>
  <si>
    <t>LT-079886-19/KI</t>
  </si>
  <si>
    <t>LT-001112-19/QU</t>
  </si>
  <si>
    <t>LT-070345-19/QU</t>
  </si>
  <si>
    <t>LT-051883-19/RI</t>
  </si>
  <si>
    <t>LT-023429-18/BX</t>
  </si>
  <si>
    <t>NONE</t>
  </si>
  <si>
    <t>LT-020497-19/BX</t>
  </si>
  <si>
    <t>LT-809393-16/BX</t>
  </si>
  <si>
    <t>LT-052800-19/RI</t>
  </si>
  <si>
    <t>LT-052778-19/RI</t>
  </si>
  <si>
    <t>LT-064979-18/BX</t>
  </si>
  <si>
    <t>LT-051788-19/RI</t>
  </si>
  <si>
    <t>LT-052965-19/RI</t>
  </si>
  <si>
    <t>LT-200074-18/NY</t>
  </si>
  <si>
    <t>LT-071487-19/NY</t>
  </si>
  <si>
    <t>LT-33778-19/BX</t>
  </si>
  <si>
    <t>LT-030982-19/BX</t>
  </si>
  <si>
    <t>LT-036493-18/BX</t>
  </si>
  <si>
    <t>LT-076797-19/KI</t>
  </si>
  <si>
    <t>LT-052214-17/RI</t>
  </si>
  <si>
    <t>LT-048749-19/BX</t>
  </si>
  <si>
    <t>LT-096258-18/KI</t>
  </si>
  <si>
    <t>LT-000322-19/QU</t>
  </si>
  <si>
    <t>LT-049350-18/BX</t>
  </si>
  <si>
    <t>LT-081766-19/KI</t>
  </si>
  <si>
    <t>LT-057621-19/BX</t>
  </si>
  <si>
    <t>LT-033625-19/BX</t>
  </si>
  <si>
    <t>LT-900214-18/BX</t>
  </si>
  <si>
    <t>LT-069843-19/QU</t>
  </si>
  <si>
    <t>LT-058531-18/QU</t>
  </si>
  <si>
    <t>LT-060753-19/QU</t>
  </si>
  <si>
    <t>LT-060920-19/QU</t>
  </si>
  <si>
    <t>LT-070228-19/NY</t>
  </si>
  <si>
    <t>LT-068470-19/QU</t>
  </si>
  <si>
    <t>LT-070350-19/QU</t>
  </si>
  <si>
    <t>LT-807198-19/BX</t>
  </si>
  <si>
    <t>LT-001700-19/NY</t>
  </si>
  <si>
    <t>LT-033389-19/BX</t>
  </si>
  <si>
    <t>LT-251750-9/NY</t>
  </si>
  <si>
    <t>LT-054825-19/KI</t>
  </si>
  <si>
    <t>LT-059198-19/QU</t>
  </si>
  <si>
    <t>LT-051834-19/RI</t>
  </si>
  <si>
    <t>LT-059006-19/KI</t>
  </si>
  <si>
    <t>LT-608623-19/NY</t>
  </si>
  <si>
    <t>LT-074634-18/KI</t>
  </si>
  <si>
    <t>GT-410028-RO</t>
  </si>
  <si>
    <t>LT-063191-19/KI</t>
  </si>
  <si>
    <t>LT-069638-19/KI</t>
  </si>
  <si>
    <t>LT-010875-18/RI</t>
  </si>
  <si>
    <t>LT-006173-19?NY</t>
  </si>
  <si>
    <t>LT-076038-19/KI</t>
  </si>
  <si>
    <t>LT-041109-19/BX</t>
  </si>
  <si>
    <t>LT-069895-19/QU</t>
  </si>
  <si>
    <t>LT-022866-19/BX</t>
  </si>
  <si>
    <t>001384/2019</t>
  </si>
  <si>
    <t>LT-071995-19/KI</t>
  </si>
  <si>
    <t>LT-051480-19/RI</t>
  </si>
  <si>
    <t>LT-001226-19/NY</t>
  </si>
  <si>
    <t>LT-047475-18/BX</t>
  </si>
  <si>
    <t>908893-TD-2019</t>
  </si>
  <si>
    <t>LT-093726-18/KI</t>
  </si>
  <si>
    <t>LT-059701-19/KI</t>
  </si>
  <si>
    <t>LT-012645-19/NY</t>
  </si>
  <si>
    <t>LT-083011-19/KI</t>
  </si>
  <si>
    <t>LT-077335-19/KI</t>
  </si>
  <si>
    <t>LT-030302-19/BX</t>
  </si>
  <si>
    <t>LT-055242-19/NY</t>
  </si>
  <si>
    <t>LT-080074-18/KI</t>
  </si>
  <si>
    <t>LT-051817-19/RI</t>
  </si>
  <si>
    <t>LT-065512-19/QU</t>
  </si>
  <si>
    <t>LT-032256-19/BX</t>
  </si>
  <si>
    <t>LT-020164-19/BX</t>
  </si>
  <si>
    <t>LT-068184-19/NY</t>
  </si>
  <si>
    <t>LT-094957-18/KI</t>
  </si>
  <si>
    <t>LT-036549-19/BX</t>
  </si>
  <si>
    <t>LT-052447-19/RI</t>
  </si>
  <si>
    <t>LT-251141-19/NY</t>
  </si>
  <si>
    <t>LT-070061-19/KI</t>
  </si>
  <si>
    <t>LT-077343-19/KI</t>
  </si>
  <si>
    <t>LT-073440-19/KI</t>
  </si>
  <si>
    <t>LT-036475-19/BX</t>
  </si>
  <si>
    <t>LT-215431-19/BX</t>
  </si>
  <si>
    <t>LT-051688-19/RI</t>
  </si>
  <si>
    <t>LT-053497-18/RI</t>
  </si>
  <si>
    <t>LT-051946-19/RI</t>
  </si>
  <si>
    <t>LT-032881-19/BX</t>
  </si>
  <si>
    <t>LT-071393-19/KI</t>
  </si>
  <si>
    <t>LT-075654-19/KI</t>
  </si>
  <si>
    <t>GP-210025-R</t>
  </si>
  <si>
    <t>LT-063369-19/QU</t>
  </si>
  <si>
    <t>LT-076809-19/KI</t>
  </si>
  <si>
    <t>LT-077282-18/NY</t>
  </si>
  <si>
    <t>LT-080971-19/KI</t>
  </si>
  <si>
    <t>LT-024215-19/BX</t>
  </si>
  <si>
    <t>LT-025874-19/BX</t>
  </si>
  <si>
    <t>GW-430022-OM</t>
  </si>
  <si>
    <t>LT-070294-18/QU</t>
  </si>
  <si>
    <t>LT-052673-19/RI</t>
  </si>
  <si>
    <t>LT-082872-19/KI</t>
  </si>
  <si>
    <t>LT-065660-19/NY</t>
  </si>
  <si>
    <t>019938/2019</t>
  </si>
  <si>
    <t>LT-089593-18/KI</t>
  </si>
  <si>
    <t>LT-036426-19/BX</t>
  </si>
  <si>
    <t>LT-018230-19/KI</t>
  </si>
  <si>
    <t>LT-034649-19/BX</t>
  </si>
  <si>
    <t>LT-066947-19/QU</t>
  </si>
  <si>
    <t>LT-059740-19/NY</t>
  </si>
  <si>
    <t>LT-001137-19/NY</t>
  </si>
  <si>
    <t>LT-051527-19/RI</t>
  </si>
  <si>
    <t>LT-095865-18/KI</t>
  </si>
  <si>
    <t>No Case Yet</t>
  </si>
  <si>
    <t>HP Case</t>
  </si>
  <si>
    <t>LT-251353-19/NY</t>
  </si>
  <si>
    <t>LT-092657-18/KI</t>
  </si>
  <si>
    <t>GW-130070-OM</t>
  </si>
  <si>
    <t>GW-130064-OM</t>
  </si>
  <si>
    <t>LT-005984-19/KI</t>
  </si>
  <si>
    <t>LT-036817-19/BX</t>
  </si>
  <si>
    <t>LT-250601-19/NY</t>
  </si>
  <si>
    <t>LT-028805-19/BX</t>
  </si>
  <si>
    <t>LT-059920-19/QU</t>
  </si>
  <si>
    <t>LT-051840-19/RI</t>
  </si>
  <si>
    <t>LT-071824-19/KI</t>
  </si>
  <si>
    <t>LT-084391-18/KI</t>
  </si>
  <si>
    <t>LT-051973-19/RI</t>
  </si>
  <si>
    <t>LT-051773-19/RI</t>
  </si>
  <si>
    <t>LT-069320-19/KI</t>
  </si>
  <si>
    <t>LT-051979-19/RI</t>
  </si>
  <si>
    <t>LT-77981-19/NY</t>
  </si>
  <si>
    <t>LT-060176-19/QU</t>
  </si>
  <si>
    <t>LT-063545-19/NY</t>
  </si>
  <si>
    <t>LT-039855-19/BX</t>
  </si>
  <si>
    <t>HO-130078-OM</t>
  </si>
  <si>
    <t>LT-078556-19/QU</t>
  </si>
  <si>
    <t>LT-037529-19/BX</t>
  </si>
  <si>
    <t>LT-059792-19/NY</t>
  </si>
  <si>
    <t>LT-068754-19/QU</t>
  </si>
  <si>
    <t>CV-022265-18/BX</t>
  </si>
  <si>
    <t>LT-051737-19/RI</t>
  </si>
  <si>
    <t>LT-042670-19/BX</t>
  </si>
  <si>
    <t>LT-063595-19/QU</t>
  </si>
  <si>
    <t>LT-077712-19/KI</t>
  </si>
  <si>
    <t>LT-050035-19/RI</t>
  </si>
  <si>
    <t>LT-031389-19/BX</t>
  </si>
  <si>
    <t>LT-044472-19/BX</t>
  </si>
  <si>
    <t>LT-073148-19/KI</t>
  </si>
  <si>
    <t>LT-044743-19/BX</t>
  </si>
  <si>
    <t>LT-074838-18/QU</t>
  </si>
  <si>
    <t>LT-061952-19/QU</t>
  </si>
  <si>
    <t>LT-077528-18/QU</t>
  </si>
  <si>
    <t>LT-078292-19/KI</t>
  </si>
  <si>
    <t>LT-071849-19/KI</t>
  </si>
  <si>
    <t>LT-251530-19/NY</t>
  </si>
  <si>
    <t>LT-065718-19/QU</t>
  </si>
  <si>
    <t>LT-059876-19/NY</t>
  </si>
  <si>
    <t>LT-061783-19/KI</t>
  </si>
  <si>
    <t>LT-051377-19/RI</t>
  </si>
  <si>
    <t>CV-024411-15/QU</t>
  </si>
  <si>
    <t>HS-210129-S</t>
  </si>
  <si>
    <t>LT-063916-19/QU</t>
  </si>
  <si>
    <t>LT-017132-19/BX</t>
  </si>
  <si>
    <t>LT-063929-19/QU</t>
  </si>
  <si>
    <t>LT-084412-19/KI</t>
  </si>
  <si>
    <t>LT-075189-19/KI</t>
  </si>
  <si>
    <t>LT-064297-19/QU</t>
  </si>
  <si>
    <t>LT-050261-19/KI</t>
  </si>
  <si>
    <t>LT-008522-19/BX</t>
  </si>
  <si>
    <t>LT-035387-19/BX</t>
  </si>
  <si>
    <t>LT-250785-19/NY</t>
  </si>
  <si>
    <t>None yet</t>
  </si>
  <si>
    <t>LT-052240-19/RI</t>
  </si>
  <si>
    <t>LT-060978-19/QU</t>
  </si>
  <si>
    <t>LT-075190-19/KI</t>
  </si>
  <si>
    <t>LT-063289-19/QU</t>
  </si>
  <si>
    <t>LT-071791-19/KI</t>
  </si>
  <si>
    <t>LT-066906-19/QU</t>
  </si>
  <si>
    <t>LT-068503-19/QU</t>
  </si>
  <si>
    <t>LT-066271-19/KI</t>
  </si>
  <si>
    <t>LT-064510-19/QU</t>
  </si>
  <si>
    <t>LT-035751-19/BX</t>
  </si>
  <si>
    <t>LT-070224-19/QU</t>
  </si>
  <si>
    <t>LT-072043-19/QU</t>
  </si>
  <si>
    <t>LT-046862-19/BX</t>
  </si>
  <si>
    <t>LT-077591-19/KI</t>
  </si>
  <si>
    <t>LT-021051-19/BX</t>
  </si>
  <si>
    <t>LT-056490-19/KI</t>
  </si>
  <si>
    <t>LT-070975-19/KI</t>
  </si>
  <si>
    <t>LT-074207-19/KI</t>
  </si>
  <si>
    <t>LT-081298-19/KI</t>
  </si>
  <si>
    <t>LT-068527-19/QU</t>
  </si>
  <si>
    <t>LT-051691-19/RI</t>
  </si>
  <si>
    <t>LT-062870-19/QU</t>
  </si>
  <si>
    <t>LT-070979-19/QU</t>
  </si>
  <si>
    <t>LT-068003-19/NY</t>
  </si>
  <si>
    <t>LT-063530-19/NY</t>
  </si>
  <si>
    <t>LT-070155-19/QU</t>
  </si>
  <si>
    <t>LT-051689-19/RI</t>
  </si>
  <si>
    <t>LT-064890-19/QU</t>
  </si>
  <si>
    <t>LT-071489-19/QU</t>
  </si>
  <si>
    <t>HT-110017-RV</t>
  </si>
  <si>
    <t>LT-059214-19/QU</t>
  </si>
  <si>
    <t>LT-051451-19/RI</t>
  </si>
  <si>
    <t>LT-050619-19/RI</t>
  </si>
  <si>
    <t>LT-069358-19/KI</t>
  </si>
  <si>
    <t>LT-064009-19/QU</t>
  </si>
  <si>
    <t>711397/2019</t>
  </si>
  <si>
    <t>M-H-Z-19-71808</t>
  </si>
  <si>
    <t>LT-060954-19/QU</t>
  </si>
  <si>
    <t>LT-069019-19/QU</t>
  </si>
  <si>
    <t>LT-064740-18/KI</t>
  </si>
  <si>
    <t>LT-064934-19/QU</t>
  </si>
  <si>
    <t>LT-067374-17/KI</t>
  </si>
  <si>
    <t>LT-077610-19/KI</t>
  </si>
  <si>
    <t>CV-017856-19/KI</t>
  </si>
  <si>
    <t>LT-064502-19/QU</t>
  </si>
  <si>
    <t>LT-063534-19/QU</t>
  </si>
  <si>
    <t>LT-069256-19/KI</t>
  </si>
  <si>
    <t>LT-084112-19/KI</t>
  </si>
  <si>
    <t>LT-059492-19/KI</t>
  </si>
  <si>
    <t>no current case</t>
  </si>
  <si>
    <t>LT-077440-19/KI</t>
  </si>
  <si>
    <t>LT-062779-19/NY</t>
  </si>
  <si>
    <t>LT-050367-19/RI</t>
  </si>
  <si>
    <t>LT-051537-19/RI</t>
  </si>
  <si>
    <t>LT-051784-19/RI</t>
  </si>
  <si>
    <t>LT-064408-19/NY</t>
  </si>
  <si>
    <t>LT-71670-19/NY</t>
  </si>
  <si>
    <t>LT-062630-19/QU</t>
  </si>
  <si>
    <t>LT-064518-19/QU</t>
  </si>
  <si>
    <t>LT-078069-19/KI</t>
  </si>
  <si>
    <t>GX-110104-OM</t>
  </si>
  <si>
    <t>LT-070434-19/QU</t>
  </si>
  <si>
    <t>LT-051546-19/RI</t>
  </si>
  <si>
    <t>LT-63480-18/BX</t>
  </si>
  <si>
    <t>LT-065702-19/QU</t>
  </si>
  <si>
    <t>LT-251107-19/NY</t>
  </si>
  <si>
    <t>LT-061130-19/QU</t>
  </si>
  <si>
    <t>LT-077157-19/KI</t>
  </si>
  <si>
    <t>LT-072583-19/NY</t>
  </si>
  <si>
    <t>LT-073109-19/KI</t>
  </si>
  <si>
    <t>LT-076161-18/QU</t>
  </si>
  <si>
    <t>LT-066112-19/KI</t>
  </si>
  <si>
    <t>LT-082830-19/KI</t>
  </si>
  <si>
    <t>LT-069910-19/NY</t>
  </si>
  <si>
    <t>LT-016946-19/BX</t>
  </si>
  <si>
    <t>LT-064385-19/QU</t>
  </si>
  <si>
    <t>LT-062103-19/NY</t>
  </si>
  <si>
    <t>LT-040086-19/BX</t>
  </si>
  <si>
    <t>LT-051366-19/QU</t>
  </si>
  <si>
    <t>LT-063716-19/QU</t>
  </si>
  <si>
    <t>LT-051189-19/RI</t>
  </si>
  <si>
    <t>LT-064640-19/QU</t>
  </si>
  <si>
    <t>LT-200224-19/NY</t>
  </si>
  <si>
    <t>LT-056564-19/QU</t>
  </si>
  <si>
    <t>LT-252448-19/NY</t>
  </si>
  <si>
    <t>LT-063791-19/QU</t>
  </si>
  <si>
    <t>LT-065845-19/NY</t>
  </si>
  <si>
    <t>101884/2019</t>
  </si>
  <si>
    <t>LT-081367-19/KI</t>
  </si>
  <si>
    <t>LT-011313-18/RI</t>
  </si>
  <si>
    <t>LT-039300-19/BX</t>
  </si>
  <si>
    <t>LT-72811-19/QU</t>
  </si>
  <si>
    <t>LT-051320-19/RI</t>
  </si>
  <si>
    <t>LT-075052-18/QU</t>
  </si>
  <si>
    <t>LT-084662-19/KI</t>
  </si>
  <si>
    <t>LT-057814-19/NY</t>
  </si>
  <si>
    <t>LT-073946-19/KI</t>
  </si>
  <si>
    <t>LT-077331-19/KI</t>
  </si>
  <si>
    <t>LT-071130-19/QU</t>
  </si>
  <si>
    <t>LT-066423-19/QU</t>
  </si>
  <si>
    <t>LT-052139-19/RI</t>
  </si>
  <si>
    <t>LT-000193-19/RI</t>
  </si>
  <si>
    <t>LT-051492-19/RI</t>
  </si>
  <si>
    <t>LT-053659-19/NY</t>
  </si>
  <si>
    <t>LT-080728-19/KI</t>
  </si>
  <si>
    <t>LT-075956-18/KI</t>
  </si>
  <si>
    <t>LT-064911-19/QU</t>
  </si>
  <si>
    <t>LT-074644-19/KI</t>
  </si>
  <si>
    <t>LT-074317-19/KI</t>
  </si>
  <si>
    <t>LT-051516-19/RI</t>
  </si>
  <si>
    <t>no case of August 9, 2019</t>
  </si>
  <si>
    <t>CV-006296-19?NY</t>
  </si>
  <si>
    <t>LT-077664-19/KI</t>
  </si>
  <si>
    <t>LT-069285-19/KI</t>
  </si>
  <si>
    <t>LT-052064-19/RI</t>
  </si>
  <si>
    <t>LT-001433-19/KI</t>
  </si>
  <si>
    <t>LT-059617-19/QU</t>
  </si>
  <si>
    <t>LT-067298-19/NY</t>
  </si>
  <si>
    <t>M-H-G-18-34527</t>
  </si>
  <si>
    <t>LT-077777-18/QU</t>
  </si>
  <si>
    <t>LT-052666-19/KI</t>
  </si>
  <si>
    <t>LT-044551-19/BX</t>
  </si>
  <si>
    <t>LT-251349-19/NY</t>
  </si>
  <si>
    <t>LT-000956-18/NY</t>
  </si>
  <si>
    <t>LT-057444-19/NY</t>
  </si>
  <si>
    <t>450170/2019</t>
  </si>
  <si>
    <t>ER-410056-RT</t>
  </si>
  <si>
    <t>LT-062856-19/QU</t>
  </si>
  <si>
    <t>LT-051823-19/RI</t>
  </si>
  <si>
    <t>LT-72007-19/NY</t>
  </si>
  <si>
    <t>LT-073824-19/KI</t>
  </si>
  <si>
    <t>LT-057153-19/QU</t>
  </si>
  <si>
    <t>LT-083501-19/KI</t>
  </si>
  <si>
    <t>LT-065009-19/QU</t>
  </si>
  <si>
    <t>LT-001631-19/KI</t>
  </si>
  <si>
    <t>GM410027RO</t>
  </si>
  <si>
    <t>LT-058694-19/KI</t>
  </si>
  <si>
    <t>LT-067586-19/QU</t>
  </si>
  <si>
    <t>LT-063199-18/BX</t>
  </si>
  <si>
    <t>LT-073171-19/QU</t>
  </si>
  <si>
    <t>LT-0701110-19/NY</t>
  </si>
  <si>
    <t>LT-070690-19/NY</t>
  </si>
  <si>
    <t>LT-000600-19/QU</t>
  </si>
  <si>
    <t>LT-066022-19/QU</t>
  </si>
  <si>
    <t>LT-082706-19/KI</t>
  </si>
  <si>
    <t>LT-082466-17/NY</t>
  </si>
  <si>
    <t>LT-069790-19/KI</t>
  </si>
  <si>
    <t>LT-061685-19/QU</t>
  </si>
  <si>
    <t>LT-080711-19/KI</t>
  </si>
  <si>
    <t>LT-070686-19/NY</t>
  </si>
  <si>
    <t>LT-052197-19/RI</t>
  </si>
  <si>
    <t>LT-068984-19/KI</t>
  </si>
  <si>
    <t>LT-032562-19/BX</t>
  </si>
  <si>
    <t>CV  023519-17/NY</t>
  </si>
  <si>
    <t>LT-061547-19/QU</t>
  </si>
  <si>
    <t>LT-055726-19/KI</t>
  </si>
  <si>
    <t>LT-065463-19/QU</t>
  </si>
  <si>
    <t>LT-251121-19/NY</t>
  </si>
  <si>
    <t>LT-052519-19/RI</t>
  </si>
  <si>
    <t>LT-081197-19/KI</t>
  </si>
  <si>
    <t>LT-067845-19/QU</t>
  </si>
  <si>
    <t>LT-062844-19/KI</t>
  </si>
  <si>
    <t>CV-004878-19/RI</t>
  </si>
  <si>
    <t>LT-061550-19/NY</t>
  </si>
  <si>
    <t>LT-065486-19/QU</t>
  </si>
  <si>
    <t>LT-078379-19/KI</t>
  </si>
  <si>
    <t>LT-062081-19/QU</t>
  </si>
  <si>
    <t>LT-071983-19/KI</t>
  </si>
  <si>
    <t>LT-025352-19/BX</t>
  </si>
  <si>
    <t>LT-064944-19/NY</t>
  </si>
  <si>
    <t>LT-084641-19/KI</t>
  </si>
  <si>
    <t>LT-051778-19/RI</t>
  </si>
  <si>
    <t>LT-072237-19/KI</t>
  </si>
  <si>
    <t>LT-051730-19/RI</t>
  </si>
  <si>
    <t>LT-250726-19/NY</t>
  </si>
  <si>
    <t>LT-006354-19/QU</t>
  </si>
  <si>
    <t>LT-056804-19/QU</t>
  </si>
  <si>
    <t>LT-055797-19/KI</t>
  </si>
  <si>
    <t>LT-004288-19/BX</t>
  </si>
  <si>
    <t>LT-050930-19/RI</t>
  </si>
  <si>
    <t>LT-070354-19/QU</t>
  </si>
  <si>
    <t>LT-077105-19/KI</t>
  </si>
  <si>
    <t>LT-251335-19/NY</t>
  </si>
  <si>
    <t>LT-069112-19/KI</t>
  </si>
  <si>
    <t>LT-068244-19/KI</t>
  </si>
  <si>
    <t>LT-074234-19/KI</t>
  </si>
  <si>
    <t>LT-050476-19/RI</t>
  </si>
  <si>
    <t>LT-060417-18/KI</t>
  </si>
  <si>
    <t>LT-053906-19/KI</t>
  </si>
  <si>
    <t>LT-064089-19/NY</t>
  </si>
  <si>
    <t>Will provide</t>
  </si>
  <si>
    <t>LT-071177-19/KI</t>
  </si>
  <si>
    <t>LT-048748-19/BX</t>
  </si>
  <si>
    <t>LT-066319-19/KI</t>
  </si>
  <si>
    <t>LT-077952-19/KI</t>
  </si>
  <si>
    <t>LT-082870-19/KI</t>
  </si>
  <si>
    <t>LT-078066-19/KI</t>
  </si>
  <si>
    <t>LT-093193-18/KI</t>
  </si>
  <si>
    <t>HN-110017-OM</t>
  </si>
  <si>
    <t>HV-410010-B</t>
  </si>
  <si>
    <t>LT-200024-19/NY</t>
  </si>
  <si>
    <t>LT-068254-19/QU</t>
  </si>
  <si>
    <t>LT-075894-19/KI</t>
  </si>
  <si>
    <t>LT-082871-19/KI</t>
  </si>
  <si>
    <t>LT-064608-19/KI</t>
  </si>
  <si>
    <t>002704/2018</t>
  </si>
  <si>
    <t>LT-066617-17/KI</t>
  </si>
  <si>
    <t>LT-017299-18/BX</t>
  </si>
  <si>
    <t>LT-050958-19/RI</t>
  </si>
  <si>
    <t>LT-065317-19/KI</t>
  </si>
  <si>
    <t>HM-110041-OM</t>
  </si>
  <si>
    <t>LT-063006-19/QU</t>
  </si>
  <si>
    <t>LT-060876-19/NY</t>
  </si>
  <si>
    <t>LT-071153-19/QU</t>
  </si>
  <si>
    <t>CV-151576-19/RI</t>
  </si>
  <si>
    <t>LT-074202-19/KI</t>
  </si>
  <si>
    <t>LT-079200-19/KI</t>
  </si>
  <si>
    <t>LT-051413-19/RI</t>
  </si>
  <si>
    <t>LT-056474-19/KI</t>
  </si>
  <si>
    <t>LT-029231-19/BX</t>
  </si>
  <si>
    <t>LT-078553-19/KI</t>
  </si>
  <si>
    <t>LT-052416-19/RI</t>
  </si>
  <si>
    <t>LT-063808-19/KI</t>
  </si>
  <si>
    <t>LT-072500-19/KI</t>
  </si>
  <si>
    <t>LT-069535-19/KI</t>
  </si>
  <si>
    <t>LT-065115-19/KI</t>
  </si>
  <si>
    <t>LT-077394-19/KI</t>
  </si>
  <si>
    <t>LT-053861-19/QU</t>
  </si>
  <si>
    <t>LT-050845-19/RI</t>
  </si>
  <si>
    <t>LT-043242-19/BX</t>
  </si>
  <si>
    <t>LT-003453-18/KI</t>
  </si>
  <si>
    <t>LT-068259-19/KI</t>
  </si>
  <si>
    <t>LT-058093-19/KI</t>
  </si>
  <si>
    <t>LT-058364-19/KI</t>
  </si>
  <si>
    <t>LT-079371-19/KI</t>
  </si>
  <si>
    <t>LT-052001-19/KI</t>
  </si>
  <si>
    <t>LT-032313-19/BX</t>
  </si>
  <si>
    <t>LT-077328-19/KI</t>
  </si>
  <si>
    <t>LT-046406-19/BX</t>
  </si>
  <si>
    <t>LT-062661-19/QU</t>
  </si>
  <si>
    <t>LT-068559-19/KI</t>
  </si>
  <si>
    <t>LT-072141-19/KI</t>
  </si>
  <si>
    <t>LT-064589-19/KI</t>
  </si>
  <si>
    <t>LT-039103-19/BX</t>
  </si>
  <si>
    <t>CV-015118-17/KI</t>
  </si>
  <si>
    <t>LT-004359-19/BX</t>
  </si>
  <si>
    <t>LT-062958-19/KI</t>
  </si>
  <si>
    <t>LT-063667-19/KI</t>
  </si>
  <si>
    <t>HM-130106-OM</t>
  </si>
  <si>
    <t>LT-078894-19/KI</t>
  </si>
  <si>
    <t>CV-01194-18/BX</t>
  </si>
  <si>
    <t>LT-001218-19/KI</t>
  </si>
  <si>
    <t>LT-064595-19/KI</t>
  </si>
  <si>
    <t>LT-057210-17/QU</t>
  </si>
  <si>
    <t>LT-063688-19/KI</t>
  </si>
  <si>
    <t>LT-075205-19/KI</t>
  </si>
  <si>
    <t>LT-063665-19/KI</t>
  </si>
  <si>
    <t>LT-058120-19/KI</t>
  </si>
  <si>
    <t>LT-050642-19/KI</t>
  </si>
  <si>
    <t>Holdover</t>
  </si>
  <si>
    <t>HP Action</t>
  </si>
  <si>
    <t>Non-payment</t>
  </si>
  <si>
    <t>DHCR Administrative Action</t>
  </si>
  <si>
    <t>Section 8 other</t>
  </si>
  <si>
    <t>Non-Litigation Advocacy</t>
  </si>
  <si>
    <t>Tenant Rights</t>
  </si>
  <si>
    <t>PA Issue: LINC</t>
  </si>
  <si>
    <t>Affirmative Litigation Supreme</t>
  </si>
  <si>
    <t>SCRIE/DRIE</t>
  </si>
  <si>
    <t>PA Issue: City FEPS/SEPS</t>
  </si>
  <si>
    <t>PA Issue: RAU</t>
  </si>
  <si>
    <t>Other Civil Court</t>
  </si>
  <si>
    <t>Sec. 8 Termination</t>
  </si>
  <si>
    <t>PA Issue: Other</t>
  </si>
  <si>
    <t>Illegal Lockout</t>
  </si>
  <si>
    <t>Article 78</t>
  </si>
  <si>
    <t>PA Issue: FEPS</t>
  </si>
  <si>
    <t>Section 8 share</t>
  </si>
  <si>
    <t>Appeal-Appellate Term</t>
  </si>
  <si>
    <t>NYCHA Housing Grievance</t>
  </si>
  <si>
    <t>Human Rights Complaint</t>
  </si>
  <si>
    <t>Certificate of No Harassment Case</t>
  </si>
  <si>
    <t>Other Administrative Proceeding</t>
  </si>
  <si>
    <t>Ejectment Action</t>
  </si>
  <si>
    <t>Advice</t>
  </si>
  <si>
    <t>Out-of-Court Advocacy</t>
  </si>
  <si>
    <t>Representation - State Court</t>
  </si>
  <si>
    <t>Brief Service</t>
  </si>
  <si>
    <t>Hold For Review</t>
  </si>
  <si>
    <t>Representation - Admin. Agency</t>
  </si>
  <si>
    <t>Representation - Federal Court</t>
  </si>
  <si>
    <t>A - Counsel and Advice</t>
  </si>
  <si>
    <t>G - Negotiated Settlement with Litigation</t>
  </si>
  <si>
    <t>F - Negotiated Settlement w/out Litigation</t>
  </si>
  <si>
    <t>B - Limited Action (Brief Service)</t>
  </si>
  <si>
    <t>IA - Uncontested Court Decision</t>
  </si>
  <si>
    <t>IB - Contested Court Decision</t>
  </si>
  <si>
    <t>H - Administrative Agency Decision</t>
  </si>
  <si>
    <t>L - Extensive Service (not resulting in Settlement of Court or Administrative Action)</t>
  </si>
  <si>
    <t>3018 Tenant Rights Coalition (TRC)</t>
  </si>
  <si>
    <t>3011 TRC FJC Initiative</t>
  </si>
  <si>
    <t>5556 Robin Hood-Foreclosure and Housing</t>
  </si>
  <si>
    <t>3311 Anti-Eviction and SRO Legal Services (formerly "HPD")</t>
  </si>
  <si>
    <t>5221 SSUSA-Single Stop USA</t>
  </si>
  <si>
    <t>4302 PHS- ADV-Client Advocacy</t>
  </si>
  <si>
    <t>5227 RH VJP (Veterans Justice Project)</t>
  </si>
  <si>
    <t>3020 CLS-Civil Legal Services</t>
  </si>
  <si>
    <t>3312 Housing Preservation Initiative (HPI)</t>
  </si>
  <si>
    <t>63 Private Landlord/Tenant</t>
  </si>
  <si>
    <t>64 Public Housing</t>
  </si>
  <si>
    <t>71 TANF</t>
  </si>
  <si>
    <t>69 Other Housing</t>
  </si>
  <si>
    <t>01 Bankruptcy/Debtor Relief</t>
  </si>
  <si>
    <t>61 Federally Subsidized Housing</t>
  </si>
  <si>
    <t>79 Other Income Maintenence</t>
  </si>
  <si>
    <t>85 Civil Rights</t>
  </si>
  <si>
    <t>66 Housing Discrimination</t>
  </si>
  <si>
    <t>67 Mortgage Foreclosures (Not Predatory Lending/Practices)</t>
  </si>
  <si>
    <t>02 Collect/Repo/Def/Garnsh</t>
  </si>
  <si>
    <t>Post-Judgment, Tenant in Possession-Judgment Due to Default</t>
  </si>
  <si>
    <t>No Stipulation; No Judgment</t>
  </si>
  <si>
    <t>Post-Judgment, Tenant in Possession-Judgment Due to Other</t>
  </si>
  <si>
    <t>Post-Stipulation, No Judgment</t>
  </si>
  <si>
    <t>Post-Judgment, Tenant Out of Possession</t>
  </si>
  <si>
    <t>On for Trial</t>
  </si>
  <si>
    <t>No Stipulation; No Judgment, Post-Stipulation, No Judgment</t>
  </si>
  <si>
    <t>11/17/2019</t>
  </si>
  <si>
    <t>09/01/2019</t>
  </si>
  <si>
    <t>12/01/2019</t>
  </si>
  <si>
    <t>08/03/2019</t>
  </si>
  <si>
    <t>11/30/2019</t>
  </si>
  <si>
    <t>09/02/2019</t>
  </si>
  <si>
    <t>12/15/2019</t>
  </si>
  <si>
    <t>08/31/2019</t>
  </si>
  <si>
    <t>08/25/2019</t>
  </si>
  <si>
    <t>12/28/2019</t>
  </si>
  <si>
    <t>09/14/2019</t>
  </si>
  <si>
    <t>10/27/2019</t>
  </si>
  <si>
    <t>07/28/2019</t>
  </si>
  <si>
    <t>09/22/2019</t>
  </si>
  <si>
    <t>11/24/2019</t>
  </si>
  <si>
    <t>09/29/2019</t>
  </si>
  <si>
    <t>12/22/2019</t>
  </si>
  <si>
    <t>11/16/2019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</si>
  <si>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</si>
  <si>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</si>
  <si>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</si>
  <si>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</si>
  <si>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</si>
  <si>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HRA</t>
  </si>
  <si>
    <t>Outreach</t>
  </si>
  <si>
    <t>FJC Housing Intake</t>
  </si>
  <si>
    <t>Other</t>
  </si>
  <si>
    <t>Returning Client</t>
  </si>
  <si>
    <t>Word of mouth</t>
  </si>
  <si>
    <t>Court Referral-NON HRA</t>
  </si>
  <si>
    <t>In-House</t>
  </si>
  <si>
    <t>Self-referred</t>
  </si>
  <si>
    <t>Community Organization</t>
  </si>
  <si>
    <t>Elected Official</t>
  </si>
  <si>
    <t>Tenant Support Unit</t>
  </si>
  <si>
    <t>Home base</t>
  </si>
  <si>
    <t>3-1-1</t>
  </si>
  <si>
    <t>Friends/Family</t>
  </si>
  <si>
    <t>Other City Agency</t>
  </si>
  <si>
    <t>HRA ELS Part F Brooklyn</t>
  </si>
  <si>
    <t>ADP Hotline</t>
  </si>
  <si>
    <t>Court</t>
  </si>
  <si>
    <t>05/22/1992</t>
  </si>
  <si>
    <t>09/12/1985</t>
  </si>
  <si>
    <t>02/24/1993</t>
  </si>
  <si>
    <t>11/04/1969</t>
  </si>
  <si>
    <t>01/26/1971</t>
  </si>
  <si>
    <t>03/09/1993</t>
  </si>
  <si>
    <t>05/22/1965</t>
  </si>
  <si>
    <t>12/14/1989</t>
  </si>
  <si>
    <t>03/04/1968</t>
  </si>
  <si>
    <t>04/19/1985</t>
  </si>
  <si>
    <t>05/15/1991</t>
  </si>
  <si>
    <t>06/15/1991</t>
  </si>
  <si>
    <t>09/11/1976</t>
  </si>
  <si>
    <t>02/18/1995</t>
  </si>
  <si>
    <t>09/18/1975</t>
  </si>
  <si>
    <t>03/26/1982</t>
  </si>
  <si>
    <t>01/12/1975</t>
  </si>
  <si>
    <t>07/18/1960</t>
  </si>
  <si>
    <t>04/06/1982</t>
  </si>
  <si>
    <t>09/12/1995</t>
  </si>
  <si>
    <t>11/28/1986</t>
  </si>
  <si>
    <t>03/20/1993</t>
  </si>
  <si>
    <t>10/23/1962</t>
  </si>
  <si>
    <t>04/29/1976</t>
  </si>
  <si>
    <t>01/01/1974</t>
  </si>
  <si>
    <t>02/19/1980</t>
  </si>
  <si>
    <t>07/09/1962</t>
  </si>
  <si>
    <t>12/05/1963</t>
  </si>
  <si>
    <t>07/27/1967</t>
  </si>
  <si>
    <t>12/25/1979</t>
  </si>
  <si>
    <t>12/28/1980</t>
  </si>
  <si>
    <t>07/03/1986</t>
  </si>
  <si>
    <t>06/16/1977</t>
  </si>
  <si>
    <t>10/15/1983</t>
  </si>
  <si>
    <t>07/10/1960</t>
  </si>
  <si>
    <t>01/01/1964</t>
  </si>
  <si>
    <t>05/09/1993</t>
  </si>
  <si>
    <t>09/16/1984</t>
  </si>
  <si>
    <t>10/03/1958</t>
  </si>
  <si>
    <t>09/30/1974</t>
  </si>
  <si>
    <t>07/10/1968</t>
  </si>
  <si>
    <t>03/22/1972</t>
  </si>
  <si>
    <t>01/22/1956</t>
  </si>
  <si>
    <t>01/01/1978</t>
  </si>
  <si>
    <t>02/12/1986</t>
  </si>
  <si>
    <t>12/13/1964</t>
  </si>
  <si>
    <t>11/11/1962</t>
  </si>
  <si>
    <t>08/31/1973</t>
  </si>
  <si>
    <t>01/10/1972</t>
  </si>
  <si>
    <t>01/01/1979</t>
  </si>
  <si>
    <t>07/13/1983</t>
  </si>
  <si>
    <t>12/17/1960</t>
  </si>
  <si>
    <t>10/11/1969</t>
  </si>
  <si>
    <t>10/13/1933</t>
  </si>
  <si>
    <t>01/31/1981</t>
  </si>
  <si>
    <t>08/03/1989</t>
  </si>
  <si>
    <t>06/09/1951</t>
  </si>
  <si>
    <t>01/01/1954</t>
  </si>
  <si>
    <t>02/12/1975</t>
  </si>
  <si>
    <t>10/31/1981</t>
  </si>
  <si>
    <t>07/19/1969</t>
  </si>
  <si>
    <t>10/05/1993</t>
  </si>
  <si>
    <t>08/18/1993</t>
  </si>
  <si>
    <t>06/08/1977</t>
  </si>
  <si>
    <t>01/30/1969</t>
  </si>
  <si>
    <t>03/17/1957</t>
  </si>
  <si>
    <t>04/09/1988</t>
  </si>
  <si>
    <t>09/19/1980</t>
  </si>
  <si>
    <t>06/03/1975</t>
  </si>
  <si>
    <t>10/28/1993</t>
  </si>
  <si>
    <t>06/01/1967</t>
  </si>
  <si>
    <t>01/01/1959</t>
  </si>
  <si>
    <t>04/11/1962</t>
  </si>
  <si>
    <t>06/25/1970</t>
  </si>
  <si>
    <t>10/22/1984</t>
  </si>
  <si>
    <t>12/28/1984</t>
  </si>
  <si>
    <t>06/15/1967</t>
  </si>
  <si>
    <t>09/11/1991</t>
  </si>
  <si>
    <t>09/20/1979</t>
  </si>
  <si>
    <t>12/09/1981</t>
  </si>
  <si>
    <t>08/10/1980</t>
  </si>
  <si>
    <t>08/15/1981</t>
  </si>
  <si>
    <t>06/21/1977</t>
  </si>
  <si>
    <t>04/28/1949</t>
  </si>
  <si>
    <t>10/01/1962</t>
  </si>
  <si>
    <t>08/23/1975</t>
  </si>
  <si>
    <t>09/24/1991</t>
  </si>
  <si>
    <t>02/11/1990</t>
  </si>
  <si>
    <t>10/17/1992</t>
  </si>
  <si>
    <t>07/16/1997</t>
  </si>
  <si>
    <t>07/14/1972</t>
  </si>
  <si>
    <t>03/30/1960</t>
  </si>
  <si>
    <t>06/01/1994</t>
  </si>
  <si>
    <t>12/19/2011</t>
  </si>
  <si>
    <t>06/26/1968</t>
  </si>
  <si>
    <t>05/13/1961</t>
  </si>
  <si>
    <t>08/01/1975</t>
  </si>
  <si>
    <t>12/09/1960</t>
  </si>
  <si>
    <t>02/18/1991</t>
  </si>
  <si>
    <t>07/23/1977</t>
  </si>
  <si>
    <t>10/27/1974</t>
  </si>
  <si>
    <t>01/02/1958</t>
  </si>
  <si>
    <t>05/25/1986</t>
  </si>
  <si>
    <t>05/18/1940</t>
  </si>
  <si>
    <t>12/18/1963</t>
  </si>
  <si>
    <t>12/26/1967</t>
  </si>
  <si>
    <t>09/28/1978</t>
  </si>
  <si>
    <t>06/02/1964</t>
  </si>
  <si>
    <t>09/09/1966</t>
  </si>
  <si>
    <t>07/29/1977</t>
  </si>
  <si>
    <t>12/30/1940</t>
  </si>
  <si>
    <t>12/15/1991</t>
  </si>
  <si>
    <t>01/10/1976</t>
  </si>
  <si>
    <t>08/11/1980</t>
  </si>
  <si>
    <t>05/03/1980</t>
  </si>
  <si>
    <t>09/08/1973</t>
  </si>
  <si>
    <t>04/04/1967</t>
  </si>
  <si>
    <t>09/19/1957</t>
  </si>
  <si>
    <t>12/31/1955</t>
  </si>
  <si>
    <t>07/04/1955</t>
  </si>
  <si>
    <t>04/17/1963</t>
  </si>
  <si>
    <t>09/22/1973</t>
  </si>
  <si>
    <t>04/12/1957</t>
  </si>
  <si>
    <t>11/02/1972</t>
  </si>
  <si>
    <t>01/25/1984</t>
  </si>
  <si>
    <t>02/04/1983</t>
  </si>
  <si>
    <t>04/13/1934</t>
  </si>
  <si>
    <t>10/19/1962</t>
  </si>
  <si>
    <t>10/25/1944</t>
  </si>
  <si>
    <t>10/22/1969</t>
  </si>
  <si>
    <t>09/19/1958</t>
  </si>
  <si>
    <t>06/14/1968</t>
  </si>
  <si>
    <t>06/29/1958</t>
  </si>
  <si>
    <t>09/15/1973</t>
  </si>
  <si>
    <t>01/27/1957</t>
  </si>
  <si>
    <t>05/08/1964</t>
  </si>
  <si>
    <t>04/23/1985</t>
  </si>
  <si>
    <t>01/16/1962</t>
  </si>
  <si>
    <t>08/08/1972</t>
  </si>
  <si>
    <t>03/09/1987</t>
  </si>
  <si>
    <t>08/19/1969</t>
  </si>
  <si>
    <t>11/19/1963</t>
  </si>
  <si>
    <t>02/25/1977</t>
  </si>
  <si>
    <t>06/13/1954</t>
  </si>
  <si>
    <t>04/02/1985</t>
  </si>
  <si>
    <t>10/04/1957</t>
  </si>
  <si>
    <t>05/15/1961</t>
  </si>
  <si>
    <t>10/01/1975</t>
  </si>
  <si>
    <t>06/23/1997</t>
  </si>
  <si>
    <t>03/28/1989</t>
  </si>
  <si>
    <t>07/17/1984</t>
  </si>
  <si>
    <t>10/24/1959</t>
  </si>
  <si>
    <t>10/16/1991</t>
  </si>
  <si>
    <t>12/25/1963</t>
  </si>
  <si>
    <t>09/29/1985</t>
  </si>
  <si>
    <t>08/17/1992</t>
  </si>
  <si>
    <t>12/07/1991</t>
  </si>
  <si>
    <t>09/05/1997</t>
  </si>
  <si>
    <t>10/09/1987</t>
  </si>
  <si>
    <t>02/27/1983</t>
  </si>
  <si>
    <t>08/30/1968</t>
  </si>
  <si>
    <t>07/31/1969</t>
  </si>
  <si>
    <t>04/14/1987</t>
  </si>
  <si>
    <t>01/15/1950</t>
  </si>
  <si>
    <t>05/21/1959</t>
  </si>
  <si>
    <t>04/19/1995</t>
  </si>
  <si>
    <t>11/10/1969</t>
  </si>
  <si>
    <t>09/26/1989</t>
  </si>
  <si>
    <t>02/05/1985</t>
  </si>
  <si>
    <t>07/04/1970</t>
  </si>
  <si>
    <t>04/25/1975</t>
  </si>
  <si>
    <t>10/25/1984</t>
  </si>
  <si>
    <t>10/06/1961</t>
  </si>
  <si>
    <t>11/16/1984</t>
  </si>
  <si>
    <t>01/21/1991</t>
  </si>
  <si>
    <t>06/25/1984</t>
  </si>
  <si>
    <t>02/05/1982</t>
  </si>
  <si>
    <t>08/11/1989</t>
  </si>
  <si>
    <t>03/27/1963</t>
  </si>
  <si>
    <t>05/25/1975</t>
  </si>
  <si>
    <t>04/06/1970</t>
  </si>
  <si>
    <t>06/14/1986</t>
  </si>
  <si>
    <t>02/29/1960</t>
  </si>
  <si>
    <t>07/18/1979</t>
  </si>
  <si>
    <t>03/25/1973</t>
  </si>
  <si>
    <t>04/07/1995</t>
  </si>
  <si>
    <t>01/05/1966</t>
  </si>
  <si>
    <t>06/27/1986</t>
  </si>
  <si>
    <t>09/22/1980</t>
  </si>
  <si>
    <t>12/24/1953</t>
  </si>
  <si>
    <t>03/25/1971</t>
  </si>
  <si>
    <t>11/01/1969</t>
  </si>
  <si>
    <t>12/16/1961</t>
  </si>
  <si>
    <t>08/09/1970</t>
  </si>
  <si>
    <t>06/17/1953</t>
  </si>
  <si>
    <t>04/12/1963</t>
  </si>
  <si>
    <t>09/14/1965</t>
  </si>
  <si>
    <t>11/28/1974</t>
  </si>
  <si>
    <t>05/02/1992</t>
  </si>
  <si>
    <t>12/31/1976</t>
  </si>
  <si>
    <t>12/03/1982</t>
  </si>
  <si>
    <t>01/28/1960</t>
  </si>
  <si>
    <t>04/02/1975</t>
  </si>
  <si>
    <t>10/11/1954</t>
  </si>
  <si>
    <t>08/16/1961</t>
  </si>
  <si>
    <t>06/07/1987</t>
  </si>
  <si>
    <t>10/29/1971</t>
  </si>
  <si>
    <t>10/30/1985</t>
  </si>
  <si>
    <t>08/16/1964</t>
  </si>
  <si>
    <t>01/12/1988</t>
  </si>
  <si>
    <t>12/21/1967</t>
  </si>
  <si>
    <t>10/02/1979</t>
  </si>
  <si>
    <t>11/11/1970</t>
  </si>
  <si>
    <t>02/20/1977</t>
  </si>
  <si>
    <t>07/09/1986</t>
  </si>
  <si>
    <t>10/13/1991</t>
  </si>
  <si>
    <t>05/08/1959</t>
  </si>
  <si>
    <t>10/19/1965</t>
  </si>
  <si>
    <t>10/06/1986</t>
  </si>
  <si>
    <t>03/02/1957</t>
  </si>
  <si>
    <t>01/05/1978</t>
  </si>
  <si>
    <t>09/07/1990</t>
  </si>
  <si>
    <t>08/10/1982</t>
  </si>
  <si>
    <t>05/25/1980</t>
  </si>
  <si>
    <t>06/04/1959</t>
  </si>
  <si>
    <t>04/20/1965</t>
  </si>
  <si>
    <t>11/08/1972</t>
  </si>
  <si>
    <t>12/30/1959</t>
  </si>
  <si>
    <t>05/07/1978</t>
  </si>
  <si>
    <t>07/11/1966</t>
  </si>
  <si>
    <t>11/10/1974</t>
  </si>
  <si>
    <t>01/05/1995</t>
  </si>
  <si>
    <t>01/25/1956</t>
  </si>
  <si>
    <t>09/27/1969</t>
  </si>
  <si>
    <t>01/23/1959</t>
  </si>
  <si>
    <t>09/09/1984</t>
  </si>
  <si>
    <t>10/18/1985</t>
  </si>
  <si>
    <t>03/08/1993</t>
  </si>
  <si>
    <t>05/27/1958</t>
  </si>
  <si>
    <t>10/15/1950</t>
  </si>
  <si>
    <t>07/19/1964</t>
  </si>
  <si>
    <t>09/07/1944</t>
  </si>
  <si>
    <t>11/23/1977</t>
  </si>
  <si>
    <t>03/20/1963</t>
  </si>
  <si>
    <t>02/23/1995</t>
  </si>
  <si>
    <t>10/08/1986</t>
  </si>
  <si>
    <t>07/04/1980</t>
  </si>
  <si>
    <t>08/13/1983</t>
  </si>
  <si>
    <t>05/14/1986</t>
  </si>
  <si>
    <t>09/17/1973</t>
  </si>
  <si>
    <t>01/09/1946</t>
  </si>
  <si>
    <t>03/06/1965</t>
  </si>
  <si>
    <t>03/29/1947</t>
  </si>
  <si>
    <t>07/19/1984</t>
  </si>
  <si>
    <t>07/21/1990</t>
  </si>
  <si>
    <t>11/26/1977</t>
  </si>
  <si>
    <t>04/04/1958</t>
  </si>
  <si>
    <t>05/20/1988</t>
  </si>
  <si>
    <t>01/30/1971</t>
  </si>
  <si>
    <t>06/02/1978</t>
  </si>
  <si>
    <t>09/21/1978</t>
  </si>
  <si>
    <t>02/12/1955</t>
  </si>
  <si>
    <t>09/25/1995</t>
  </si>
  <si>
    <t>06/21/1986</t>
  </si>
  <si>
    <t>03/07/1983</t>
  </si>
  <si>
    <t>01/15/1983</t>
  </si>
  <si>
    <t>11/24/1975</t>
  </si>
  <si>
    <t>08/05/1956</t>
  </si>
  <si>
    <t>04/05/1977</t>
  </si>
  <si>
    <t>05/16/1957</t>
  </si>
  <si>
    <t>03/12/1967</t>
  </si>
  <si>
    <t>06/27/1960</t>
  </si>
  <si>
    <t>12/22/1982</t>
  </si>
  <si>
    <t>02/07/1997</t>
  </si>
  <si>
    <t>04/03/1952</t>
  </si>
  <si>
    <t>10/05/1978</t>
  </si>
  <si>
    <t>01/20/1973</t>
  </si>
  <si>
    <t>10/08/1958</t>
  </si>
  <si>
    <t>06/19/1955</t>
  </si>
  <si>
    <t>02/12/1982</t>
  </si>
  <si>
    <t>06/10/1952</t>
  </si>
  <si>
    <t>11/06/1978</t>
  </si>
  <si>
    <t>06/26/1957</t>
  </si>
  <si>
    <t>10/01/1978</t>
  </si>
  <si>
    <t>01/22/1993</t>
  </si>
  <si>
    <t>02/17/1986</t>
  </si>
  <si>
    <t>03/17/1987</t>
  </si>
  <si>
    <t>07/30/1962</t>
  </si>
  <si>
    <t>01/09/1973</t>
  </si>
  <si>
    <t>06/06/1992</t>
  </si>
  <si>
    <t>03/26/1980</t>
  </si>
  <si>
    <t>03/07/1981</t>
  </si>
  <si>
    <t>04/24/1946</t>
  </si>
  <si>
    <t>12/03/1973</t>
  </si>
  <si>
    <t>09/15/1955</t>
  </si>
  <si>
    <t>04/19/1977</t>
  </si>
  <si>
    <t>03/10/1985</t>
  </si>
  <si>
    <t>05/27/1996</t>
  </si>
  <si>
    <t>03/25/1958</t>
  </si>
  <si>
    <t>03/15/1955</t>
  </si>
  <si>
    <t>01/30/1978</t>
  </si>
  <si>
    <t>01/08/1955</t>
  </si>
  <si>
    <t>08/19/1986</t>
  </si>
  <si>
    <t>07/06/1990</t>
  </si>
  <si>
    <t>04/02/1970</t>
  </si>
  <si>
    <t>10/06/1966</t>
  </si>
  <si>
    <t>07/22/1976</t>
  </si>
  <si>
    <t>12/26/1980</t>
  </si>
  <si>
    <t>03/26/1961</t>
  </si>
  <si>
    <t>04/16/1943</t>
  </si>
  <si>
    <t>08/02/1980</t>
  </si>
  <si>
    <t>11/12/1956</t>
  </si>
  <si>
    <t>04/16/1970</t>
  </si>
  <si>
    <t>06/11/1967</t>
  </si>
  <si>
    <t>06/12/1958</t>
  </si>
  <si>
    <t>02/22/1980</t>
  </si>
  <si>
    <t>08/20/1964</t>
  </si>
  <si>
    <t>04/28/1959</t>
  </si>
  <si>
    <t>07/01/1964</t>
  </si>
  <si>
    <t>09/14/1956</t>
  </si>
  <si>
    <t>08/07/1955</t>
  </si>
  <si>
    <t>01/16/1979</t>
  </si>
  <si>
    <t>01/17/1957</t>
  </si>
  <si>
    <t>01/17/1950</t>
  </si>
  <si>
    <t>12/04/1964</t>
  </si>
  <si>
    <t>01/19/1965</t>
  </si>
  <si>
    <t>04/30/1968</t>
  </si>
  <si>
    <t>02/28/1951</t>
  </si>
  <si>
    <t>10/30/1937</t>
  </si>
  <si>
    <t>11/08/1976</t>
  </si>
  <si>
    <t>07/18/1972</t>
  </si>
  <si>
    <t>11/11/1954</t>
  </si>
  <si>
    <t>02/10/1972</t>
  </si>
  <si>
    <t>09/09/1971</t>
  </si>
  <si>
    <t>08/30/1971</t>
  </si>
  <si>
    <t>09/06/1967</t>
  </si>
  <si>
    <t>10/17/1980</t>
  </si>
  <si>
    <t>08/08/1938</t>
  </si>
  <si>
    <t>10/03/1985</t>
  </si>
  <si>
    <t>09/09/1962</t>
  </si>
  <si>
    <t>11/10/1979</t>
  </si>
  <si>
    <t>07/06/1977</t>
  </si>
  <si>
    <t>02/28/1953</t>
  </si>
  <si>
    <t>02/23/1961</t>
  </si>
  <si>
    <t>09/03/1961</t>
  </si>
  <si>
    <t>08/23/1948</t>
  </si>
  <si>
    <t>09/30/1963</t>
  </si>
  <si>
    <t>01/05/1951</t>
  </si>
  <si>
    <t>04/05/1980</t>
  </si>
  <si>
    <t>08/11/1972</t>
  </si>
  <si>
    <t>09/06/1968</t>
  </si>
  <si>
    <t>09/15/1961</t>
  </si>
  <si>
    <t>03/27/1952</t>
  </si>
  <si>
    <t>11/12/1982</t>
  </si>
  <si>
    <t>08/24/1973</t>
  </si>
  <si>
    <t>08/02/1978</t>
  </si>
  <si>
    <t>09/14/1963</t>
  </si>
  <si>
    <t>06/02/1932</t>
  </si>
  <si>
    <t>02/23/1967</t>
  </si>
  <si>
    <t>01/12/1964</t>
  </si>
  <si>
    <t>06/14/1975</t>
  </si>
  <si>
    <t>11/16/1981</t>
  </si>
  <si>
    <t>04/23/1968</t>
  </si>
  <si>
    <t>04/06/1952</t>
  </si>
  <si>
    <t>09/19/1967</t>
  </si>
  <si>
    <t>06/13/1963</t>
  </si>
  <si>
    <t>03/01/1967</t>
  </si>
  <si>
    <t>06/09/1984</t>
  </si>
  <si>
    <t>02/04/1956</t>
  </si>
  <si>
    <t>06/10/1956</t>
  </si>
  <si>
    <t>07/23/1976</t>
  </si>
  <si>
    <t>06/21/1979</t>
  </si>
  <si>
    <t>09/17/1971</t>
  </si>
  <si>
    <t>06/02/1989</t>
  </si>
  <si>
    <t>02/20/1956</t>
  </si>
  <si>
    <t>06/21/1990</t>
  </si>
  <si>
    <t>01/17/1961</t>
  </si>
  <si>
    <t>02/14/1987</t>
  </si>
  <si>
    <t>08/10/1957</t>
  </si>
  <si>
    <t>08/02/1963</t>
  </si>
  <si>
    <t>10/17/1961</t>
  </si>
  <si>
    <t>03/19/1989</t>
  </si>
  <si>
    <t>09/03/1983</t>
  </si>
  <si>
    <t>09/07/1955</t>
  </si>
  <si>
    <t>12/23/1947</t>
  </si>
  <si>
    <t>08/13/1968</t>
  </si>
  <si>
    <t>10/30/1978</t>
  </si>
  <si>
    <t>02/01/1965</t>
  </si>
  <si>
    <t>04/23/1944</t>
  </si>
  <si>
    <t>05/15/1965</t>
  </si>
  <si>
    <t>07/25/1961</t>
  </si>
  <si>
    <t>05/07/1946</t>
  </si>
  <si>
    <t>02/06/1965</t>
  </si>
  <si>
    <t>12/04/1953</t>
  </si>
  <si>
    <t>09/02/1948</t>
  </si>
  <si>
    <t>09/27/1957</t>
  </si>
  <si>
    <t>03/21/1957</t>
  </si>
  <si>
    <t>10/01/1950</t>
  </si>
  <si>
    <t>03/15/1959</t>
  </si>
  <si>
    <t>04/27/1961</t>
  </si>
  <si>
    <t>09/04/1954</t>
  </si>
  <si>
    <t>10/21/1965</t>
  </si>
  <si>
    <t>01/07/1982</t>
  </si>
  <si>
    <t>05/24/2012</t>
  </si>
  <si>
    <t>11/10/1984</t>
  </si>
  <si>
    <t>10/18/1988</t>
  </si>
  <si>
    <t>05/02/1959</t>
  </si>
  <si>
    <t>02/10/1944</t>
  </si>
  <si>
    <t>06/25/1977</t>
  </si>
  <si>
    <t>04/29/1974</t>
  </si>
  <si>
    <t>12/26/1966</t>
  </si>
  <si>
    <t>04/15/1977</t>
  </si>
  <si>
    <t>08/07/1977</t>
  </si>
  <si>
    <t>08/26/1972</t>
  </si>
  <si>
    <t>11/13/1957</t>
  </si>
  <si>
    <t>12/14/1954</t>
  </si>
  <si>
    <t>01/16/1960</t>
  </si>
  <si>
    <t>08/11/1958</t>
  </si>
  <si>
    <t>07/17/1974</t>
  </si>
  <si>
    <t>06/10/1947</t>
  </si>
  <si>
    <t>12/29/1966</t>
  </si>
  <si>
    <t>06/08/1944</t>
  </si>
  <si>
    <t>06/25/1956</t>
  </si>
  <si>
    <t>01/19/1942</t>
  </si>
  <si>
    <t>02/28/1945</t>
  </si>
  <si>
    <t>06/14/1988</t>
  </si>
  <si>
    <t>09/18/1940</t>
  </si>
  <si>
    <t>03/25/1980</t>
  </si>
  <si>
    <t>05/03/1962</t>
  </si>
  <si>
    <t>05/24/1959</t>
  </si>
  <si>
    <t>08/15/1958</t>
  </si>
  <si>
    <t>03/28/1945</t>
  </si>
  <si>
    <t>03/25/1957</t>
  </si>
  <si>
    <t>04/08/1985</t>
  </si>
  <si>
    <t>02/11/1978</t>
  </si>
  <si>
    <t>02/02/1968</t>
  </si>
  <si>
    <t>01/07/1946</t>
  </si>
  <si>
    <t>09/08/1962</t>
  </si>
  <si>
    <t>03/29/1990</t>
  </si>
  <si>
    <t>01/26/1944</t>
  </si>
  <si>
    <t>10/19/1944</t>
  </si>
  <si>
    <t>09/24/1969</t>
  </si>
  <si>
    <t>09/06/1952</t>
  </si>
  <si>
    <t>09/08/1977</t>
  </si>
  <si>
    <t>10/01/1981</t>
  </si>
  <si>
    <t>07/16/1978</t>
  </si>
  <si>
    <t>02/08/1958</t>
  </si>
  <si>
    <t>04/24/1950</t>
  </si>
  <si>
    <t>04/17/1960</t>
  </si>
  <si>
    <t>02/08/1939</t>
  </si>
  <si>
    <t>10/26/1957</t>
  </si>
  <si>
    <t>05/02/1950</t>
  </si>
  <si>
    <t>04/13/1959</t>
  </si>
  <si>
    <t>04/03/1982</t>
  </si>
  <si>
    <t>12/30/1961</t>
  </si>
  <si>
    <t>07/17/1959</t>
  </si>
  <si>
    <t>05/09/1970</t>
  </si>
  <si>
    <t>04/08/1942</t>
  </si>
  <si>
    <t>04/10/1958</t>
  </si>
  <si>
    <t>10/09/1961</t>
  </si>
  <si>
    <t>08/02/1977</t>
  </si>
  <si>
    <t>11/06/1980</t>
  </si>
  <si>
    <t>07/23/1969</t>
  </si>
  <si>
    <t>09/18/1990</t>
  </si>
  <si>
    <t>02/12/1965</t>
  </si>
  <si>
    <t>08/10/1962</t>
  </si>
  <si>
    <t>06/06/1968</t>
  </si>
  <si>
    <t>11/15/1950</t>
  </si>
  <si>
    <t>05/21/1951</t>
  </si>
  <si>
    <t>09/20/1959</t>
  </si>
  <si>
    <t>09/30/1960</t>
  </si>
  <si>
    <t>03/04/1977</t>
  </si>
  <si>
    <t>11/01/1943</t>
  </si>
  <si>
    <t>02/15/1989</t>
  </si>
  <si>
    <t>03/20/1947</t>
  </si>
  <si>
    <t>04/15/1954</t>
  </si>
  <si>
    <t>12/28/1951</t>
  </si>
  <si>
    <t>11/23/1989</t>
  </si>
  <si>
    <t>12/22/1983</t>
  </si>
  <si>
    <t>11/05/1940</t>
  </si>
  <si>
    <t>03/04/1988</t>
  </si>
  <si>
    <t>10/26/1978</t>
  </si>
  <si>
    <t>06/14/1949</t>
  </si>
  <si>
    <t>12/09/1950</t>
  </si>
  <si>
    <t>08/26/1989</t>
  </si>
  <si>
    <t>09/29/1962</t>
  </si>
  <si>
    <t>03/02/1937</t>
  </si>
  <si>
    <t>03/08/1962</t>
  </si>
  <si>
    <t>11/15/1954</t>
  </si>
  <si>
    <t>08/03/1982</t>
  </si>
  <si>
    <t>03/20/1943</t>
  </si>
  <si>
    <t>05/18/1977</t>
  </si>
  <si>
    <t>08/26/1957</t>
  </si>
  <si>
    <t>04/15/1983</t>
  </si>
  <si>
    <t>09/06/1951</t>
  </si>
  <si>
    <t>06/19/1956</t>
  </si>
  <si>
    <t>03/07/1955</t>
  </si>
  <si>
    <t>06/16/1941</t>
  </si>
  <si>
    <t>10/01/1986</t>
  </si>
  <si>
    <t>03/11/1935</t>
  </si>
  <si>
    <t>05/15/1944</t>
  </si>
  <si>
    <t>12/26/1982</t>
  </si>
  <si>
    <t>10/14/1964</t>
  </si>
  <si>
    <t>10/30/1977</t>
  </si>
  <si>
    <t>11/21/1962</t>
  </si>
  <si>
    <t>03/01/1951</t>
  </si>
  <si>
    <t>05/23/1962</t>
  </si>
  <si>
    <t>06/05/1953</t>
  </si>
  <si>
    <t>12/24/1973</t>
  </si>
  <si>
    <t>08/14/1954</t>
  </si>
  <si>
    <t>06/21/1963</t>
  </si>
  <si>
    <t>01/18/1956</t>
  </si>
  <si>
    <t>06/19/1952</t>
  </si>
  <si>
    <t>05/29/1958</t>
  </si>
  <si>
    <t>07/16/1960</t>
  </si>
  <si>
    <t>06/09/1968</t>
  </si>
  <si>
    <t>07/10/1961</t>
  </si>
  <si>
    <t>06/21/1976</t>
  </si>
  <si>
    <t>09/30/1958</t>
  </si>
  <si>
    <t>09/23/1959</t>
  </si>
  <si>
    <t>11/11/1956</t>
  </si>
  <si>
    <t>03/04/1958</t>
  </si>
  <si>
    <t>09/19/1959</t>
  </si>
  <si>
    <t>02/19/1978</t>
  </si>
  <si>
    <t>10/03/1949</t>
  </si>
  <si>
    <t>01/19/1954</t>
  </si>
  <si>
    <t>02/15/1962</t>
  </si>
  <si>
    <t>10/18/1984</t>
  </si>
  <si>
    <t>01/20/1958</t>
  </si>
  <si>
    <t>03/12/1948</t>
  </si>
  <si>
    <t>04/19/1953</t>
  </si>
  <si>
    <t>09/01/1940</t>
  </si>
  <si>
    <t>03/02/1942</t>
  </si>
  <si>
    <t>08/26/1945</t>
  </si>
  <si>
    <t>12/13/1984</t>
  </si>
  <si>
    <t>11/18/1941</t>
  </si>
  <si>
    <t>04/22/1950</t>
  </si>
  <si>
    <t>05/28/1933</t>
  </si>
  <si>
    <t>07/28/1969</t>
  </si>
  <si>
    <t>05/09/1934</t>
  </si>
  <si>
    <t>04/28/1974</t>
  </si>
  <si>
    <t>04/24/1989</t>
  </si>
  <si>
    <t>12/22/1991</t>
  </si>
  <si>
    <t>04/30/1953</t>
  </si>
  <si>
    <t>09/30/1975</t>
  </si>
  <si>
    <t>07/24/1957</t>
  </si>
  <si>
    <t>05/01/1941</t>
  </si>
  <si>
    <t>09/09/1979</t>
  </si>
  <si>
    <t>08/22/1991</t>
  </si>
  <si>
    <t>06/03/1958</t>
  </si>
  <si>
    <t>03/19/1980</t>
  </si>
  <si>
    <t>03/25/1960</t>
  </si>
  <si>
    <t>01/26/1956</t>
  </si>
  <si>
    <t>10/11/1956</t>
  </si>
  <si>
    <t>12/16/1973</t>
  </si>
  <si>
    <t>11/08/1946</t>
  </si>
  <si>
    <t>06/12/1972</t>
  </si>
  <si>
    <t>10/29/1972</t>
  </si>
  <si>
    <t>07/25/1969</t>
  </si>
  <si>
    <t>02/13/1967</t>
  </si>
  <si>
    <t>08/04/1964</t>
  </si>
  <si>
    <t>01/20/1999</t>
  </si>
  <si>
    <t>07/05/1966</t>
  </si>
  <si>
    <t>04/10/1967</t>
  </si>
  <si>
    <t>02/21/1974</t>
  </si>
  <si>
    <t>04/08/1975</t>
  </si>
  <si>
    <t>10/10/1986</t>
  </si>
  <si>
    <t>09/04/1944</t>
  </si>
  <si>
    <t>03/14/1955</t>
  </si>
  <si>
    <t>11/02/1969</t>
  </si>
  <si>
    <t>11/14/1953</t>
  </si>
  <si>
    <t>05/26/1960</t>
  </si>
  <si>
    <t>03/23/1988</t>
  </si>
  <si>
    <t>11/03/1966</t>
  </si>
  <si>
    <t>05/16/1982</t>
  </si>
  <si>
    <t>01/28/1961</t>
  </si>
  <si>
    <t>05/25/1958</t>
  </si>
  <si>
    <t>08/18/1945</t>
  </si>
  <si>
    <t>03/25/1984</t>
  </si>
  <si>
    <t>12/30/1971</t>
  </si>
  <si>
    <t>09/05/1962</t>
  </si>
  <si>
    <t>12/15/1964</t>
  </si>
  <si>
    <t>12/13/1971</t>
  </si>
  <si>
    <t>01/16/1968</t>
  </si>
  <si>
    <t>09/26/1955</t>
  </si>
  <si>
    <t>01/02/1939</t>
  </si>
  <si>
    <t>08/15/1952</t>
  </si>
  <si>
    <t>01/18/1958</t>
  </si>
  <si>
    <t>08/13/1975</t>
  </si>
  <si>
    <t>04/14/1945</t>
  </si>
  <si>
    <t>11/21/1954</t>
  </si>
  <si>
    <t>10/10/1949</t>
  </si>
  <si>
    <t>01/14/1963</t>
  </si>
  <si>
    <t>01/27/1956</t>
  </si>
  <si>
    <t>09/16/1968</t>
  </si>
  <si>
    <t>01/01/1958</t>
  </si>
  <si>
    <t>01/15/1981</t>
  </si>
  <si>
    <t>01/03/1972</t>
  </si>
  <si>
    <t>06/24/1951</t>
  </si>
  <si>
    <t>06/02/1982</t>
  </si>
  <si>
    <t>09/29/1968</t>
  </si>
  <si>
    <t>11/26/1976</t>
  </si>
  <si>
    <t>01/07/1957</t>
  </si>
  <si>
    <t>08/06/1992</t>
  </si>
  <si>
    <t>04/23/1981</t>
  </si>
  <si>
    <t>03/06/1970</t>
  </si>
  <si>
    <t>05/17/1964</t>
  </si>
  <si>
    <t>01/16/1976</t>
  </si>
  <si>
    <t>09/29/1971</t>
  </si>
  <si>
    <t>08/31/1976</t>
  </si>
  <si>
    <t>10/30/1954</t>
  </si>
  <si>
    <t>12/15/1977</t>
  </si>
  <si>
    <t>07/09/1979</t>
  </si>
  <si>
    <t>07/04/1945</t>
  </si>
  <si>
    <t>10/20/1961</t>
  </si>
  <si>
    <t>03/20/1973</t>
  </si>
  <si>
    <t>07/11/1989</t>
  </si>
  <si>
    <t>03/05/1952</t>
  </si>
  <si>
    <t>03/09/1988</t>
  </si>
  <si>
    <t>08/17/1974</t>
  </si>
  <si>
    <t>12/20/1948</t>
  </si>
  <si>
    <t>10/05/1966</t>
  </si>
  <si>
    <t>01/05/1979</t>
  </si>
  <si>
    <t>10/28/1965</t>
  </si>
  <si>
    <t>08/22/1974</t>
  </si>
  <si>
    <t>09/24/1980</t>
  </si>
  <si>
    <t>01/20/1951</t>
  </si>
  <si>
    <t>11/27/1958</t>
  </si>
  <si>
    <t>10/12/1984</t>
  </si>
  <si>
    <t>05/14/1952</t>
  </si>
  <si>
    <t>04/23/1996</t>
  </si>
  <si>
    <t>06/03/1963</t>
  </si>
  <si>
    <t>10/01/1957</t>
  </si>
  <si>
    <t>09/19/1961</t>
  </si>
  <si>
    <t>04/03/1951</t>
  </si>
  <si>
    <t>07/13/1954</t>
  </si>
  <si>
    <t>07/27/1964</t>
  </si>
  <si>
    <t>03/28/1981</t>
  </si>
  <si>
    <t>12/27/1978</t>
  </si>
  <si>
    <t>09/22/1937</t>
  </si>
  <si>
    <t>07/22/1969</t>
  </si>
  <si>
    <t>10/26/1954</t>
  </si>
  <si>
    <t>09/04/1966</t>
  </si>
  <si>
    <t>05/14/1982</t>
  </si>
  <si>
    <t>02/20/1958</t>
  </si>
  <si>
    <t>02/28/1955</t>
  </si>
  <si>
    <t>12/26/1989</t>
  </si>
  <si>
    <t>09/03/1964</t>
  </si>
  <si>
    <t>05/04/1953</t>
  </si>
  <si>
    <t>11/10/1970</t>
  </si>
  <si>
    <t>12/27/1960</t>
  </si>
  <si>
    <t>04/30/1939</t>
  </si>
  <si>
    <t>11/30/1979</t>
  </si>
  <si>
    <t>05/23/1947</t>
  </si>
  <si>
    <t>06/07/1944</t>
  </si>
  <si>
    <t>09/04/1979</t>
  </si>
  <si>
    <t>12/09/1956</t>
  </si>
  <si>
    <t>06/14/1958</t>
  </si>
  <si>
    <t>12/17/1969</t>
  </si>
  <si>
    <t>05/20/1967</t>
  </si>
  <si>
    <t>01/21/1983</t>
  </si>
  <si>
    <t>10/16/1953</t>
  </si>
  <si>
    <t>09/04/1941</t>
  </si>
  <si>
    <t>09/08/1982</t>
  </si>
  <si>
    <t>06/23/1974</t>
  </si>
  <si>
    <t>04/06/1943</t>
  </si>
  <si>
    <t>09/05/1982</t>
  </si>
  <si>
    <t>12/31/1970</t>
  </si>
  <si>
    <t>12/23/1961</t>
  </si>
  <si>
    <t>06/24/1954</t>
  </si>
  <si>
    <t>03/19/1960</t>
  </si>
  <si>
    <t>05/26/1985</t>
  </si>
  <si>
    <t>07/24/1973</t>
  </si>
  <si>
    <t>06/06/1986</t>
  </si>
  <si>
    <t>04/05/1968</t>
  </si>
  <si>
    <t>02/03/1955</t>
  </si>
  <si>
    <t>08/21/1990</t>
  </si>
  <si>
    <t>05/02/1971</t>
  </si>
  <si>
    <t>02/08/1978</t>
  </si>
  <si>
    <t>06/03/1941</t>
  </si>
  <si>
    <t>05/25/1936</t>
  </si>
  <si>
    <t>02/01/1945</t>
  </si>
  <si>
    <t>01/15/1937</t>
  </si>
  <si>
    <t>08/15/1976</t>
  </si>
  <si>
    <t>10/23/1958</t>
  </si>
  <si>
    <t>06/02/1947</t>
  </si>
  <si>
    <t>09/24/1938</t>
  </si>
  <si>
    <t>05/08/1972</t>
  </si>
  <si>
    <t>07/03/1940</t>
  </si>
  <si>
    <t>10/02/1955</t>
  </si>
  <si>
    <t>08/27/1958</t>
  </si>
  <si>
    <t>04/06/1973</t>
  </si>
  <si>
    <t>04/16/1988</t>
  </si>
  <si>
    <t>11/17/1936</t>
  </si>
  <si>
    <t>10/12/1953</t>
  </si>
  <si>
    <t>06/08/1964</t>
  </si>
  <si>
    <t>12/02/1965</t>
  </si>
  <si>
    <t>11/30/1976</t>
  </si>
  <si>
    <t>12/30/1991</t>
  </si>
  <si>
    <t>11/23/1967</t>
  </si>
  <si>
    <t>11/25/1970</t>
  </si>
  <si>
    <t>07/31/1961</t>
  </si>
  <si>
    <t>11/06/1961</t>
  </si>
  <si>
    <t>12/28/1968</t>
  </si>
  <si>
    <t>10/01/1982</t>
  </si>
  <si>
    <t>10/24/1964</t>
  </si>
  <si>
    <t>12/26/1952</t>
  </si>
  <si>
    <t>07/13/1956</t>
  </si>
  <si>
    <t>03/03/1965</t>
  </si>
  <si>
    <t>05/27/1989</t>
  </si>
  <si>
    <t>11/21/1977</t>
  </si>
  <si>
    <t>04/18/1962</t>
  </si>
  <si>
    <t>02/28/1978</t>
  </si>
  <si>
    <t>03/06/1961</t>
  </si>
  <si>
    <t>02/15/1950</t>
  </si>
  <si>
    <t>12/13/1949</t>
  </si>
  <si>
    <t>12/13/1945</t>
  </si>
  <si>
    <t>08/17/1979</t>
  </si>
  <si>
    <t>09/22/1963</t>
  </si>
  <si>
    <t>09/15/1948</t>
  </si>
  <si>
    <t>06/04/1956</t>
  </si>
  <si>
    <t>10/28/1974</t>
  </si>
  <si>
    <t>07/08/1967</t>
  </si>
  <si>
    <t>03/07/1975</t>
  </si>
  <si>
    <t>05/28/2002</t>
  </si>
  <si>
    <t>05/15/1968</t>
  </si>
  <si>
    <t>04/13/1946</t>
  </si>
  <si>
    <t>03/02/1941</t>
  </si>
  <si>
    <t>09/24/1971</t>
  </si>
  <si>
    <t>03/16/1983</t>
  </si>
  <si>
    <t>06/08/1960</t>
  </si>
  <si>
    <t>02/12/1973</t>
  </si>
  <si>
    <t>11/22/1932</t>
  </si>
  <si>
    <t>06/15/1952</t>
  </si>
  <si>
    <t>09/13/1955</t>
  </si>
  <si>
    <t>02/01/1954</t>
  </si>
  <si>
    <t>10/25/1964</t>
  </si>
  <si>
    <t>02/18/1982</t>
  </si>
  <si>
    <t>11/10/1988</t>
  </si>
  <si>
    <t>03/22/1959</t>
  </si>
  <si>
    <t>04/08/1962</t>
  </si>
  <si>
    <t>01/08/1981</t>
  </si>
  <si>
    <t>12/01/1944</t>
  </si>
  <si>
    <t>10/14/1952</t>
  </si>
  <si>
    <t>12/14/1959</t>
  </si>
  <si>
    <t>12/20/1960</t>
  </si>
  <si>
    <t>09/05/1967</t>
  </si>
  <si>
    <t>10/29/1943</t>
  </si>
  <si>
    <t>07/08/1970</t>
  </si>
  <si>
    <t>06/12/1945</t>
  </si>
  <si>
    <t>09/04/1986</t>
  </si>
  <si>
    <t>08/20/1955</t>
  </si>
  <si>
    <t>12/22/1990</t>
  </si>
  <si>
    <t>09/15/1960</t>
  </si>
  <si>
    <t>01/09/1966</t>
  </si>
  <si>
    <t>02/01/1946</t>
  </si>
  <si>
    <t>08/16/1976</t>
  </si>
  <si>
    <t>08/23/1965</t>
  </si>
  <si>
    <t>05/01/1942</t>
  </si>
  <si>
    <t>08/21/1967</t>
  </si>
  <si>
    <t>03/22/1993</t>
  </si>
  <si>
    <t>12/04/1955</t>
  </si>
  <si>
    <t>10/04/1965</t>
  </si>
  <si>
    <t>08/08/1946</t>
  </si>
  <si>
    <t>11/20/1951</t>
  </si>
  <si>
    <t>09/05/1972</t>
  </si>
  <si>
    <t>05/29/1988</t>
  </si>
  <si>
    <t>02/22/1981</t>
  </si>
  <si>
    <t>07/05/1977</t>
  </si>
  <si>
    <t>02/28/1962</t>
  </si>
  <si>
    <t>08/19/1971</t>
  </si>
  <si>
    <t>12/15/1960</t>
  </si>
  <si>
    <t>12/08/1950</t>
  </si>
  <si>
    <t>09/27/1959</t>
  </si>
  <si>
    <t>02/03/1964</t>
  </si>
  <si>
    <t>02/05/1965</t>
  </si>
  <si>
    <t>11/29/1942</t>
  </si>
  <si>
    <t>08/18/1974</t>
  </si>
  <si>
    <t>02/10/1950</t>
  </si>
  <si>
    <t>10/08/1956</t>
  </si>
  <si>
    <t>02/23/1952</t>
  </si>
  <si>
    <t>11/26/1970</t>
  </si>
  <si>
    <t>12/09/1969</t>
  </si>
  <si>
    <t>06/25/1980</t>
  </si>
  <si>
    <t>03/14/1945</t>
  </si>
  <si>
    <t>11/26/1986</t>
  </si>
  <si>
    <t>10/03/1969</t>
  </si>
  <si>
    <t>12/17/1984</t>
  </si>
  <si>
    <t>09/07/1947</t>
  </si>
  <si>
    <t>06/09/1970</t>
  </si>
  <si>
    <t>06/04/1984</t>
  </si>
  <si>
    <t>02/04/1968</t>
  </si>
  <si>
    <t>05/24/1964</t>
  </si>
  <si>
    <t>10/21/1966</t>
  </si>
  <si>
    <t>02/23/1986</t>
  </si>
  <si>
    <t>09/20/1963</t>
  </si>
  <si>
    <t>11/07/1960</t>
  </si>
  <si>
    <t>07/31/1972</t>
  </si>
  <si>
    <t>07/14/1954</t>
  </si>
  <si>
    <t>04/02/1966</t>
  </si>
  <si>
    <t>05/11/1983</t>
  </si>
  <si>
    <t>12/31/1967</t>
  </si>
  <si>
    <t>08/03/1969</t>
  </si>
  <si>
    <t>10/26/1945</t>
  </si>
  <si>
    <t>05/21/1955</t>
  </si>
  <si>
    <t>12/10/1991</t>
  </si>
  <si>
    <t>02/06/1941</t>
  </si>
  <si>
    <t>09/24/1984</t>
  </si>
  <si>
    <t>04/27/1970</t>
  </si>
  <si>
    <t>12/15/1955</t>
  </si>
  <si>
    <t>02/25/1974</t>
  </si>
  <si>
    <t>06/18/1961</t>
  </si>
  <si>
    <t>12/03/1960</t>
  </si>
  <si>
    <t>03/21/1955</t>
  </si>
  <si>
    <t>03/21/1980</t>
  </si>
  <si>
    <t>01/23/1986</t>
  </si>
  <si>
    <t>05/07/1967</t>
  </si>
  <si>
    <t>08/23/1968</t>
  </si>
  <si>
    <t>09/10/1963</t>
  </si>
  <si>
    <t>04/17/1988</t>
  </si>
  <si>
    <t>11/03/1968</t>
  </si>
  <si>
    <t>05/23/1980</t>
  </si>
  <si>
    <t>01/17/1996</t>
  </si>
  <si>
    <t>05/29/1991</t>
  </si>
  <si>
    <t>11/01/1951</t>
  </si>
  <si>
    <t>09/06/1993</t>
  </si>
  <si>
    <t>01/22/1976</t>
  </si>
  <si>
    <t>04/12/1966</t>
  </si>
  <si>
    <t>06/19/1960</t>
  </si>
  <si>
    <t>01/13/1969</t>
  </si>
  <si>
    <t>01/02/1941</t>
  </si>
  <si>
    <t>05/26/1980</t>
  </si>
  <si>
    <t>07/12/1952</t>
  </si>
  <si>
    <t>09/20/1989</t>
  </si>
  <si>
    <t>07/20/1953</t>
  </si>
  <si>
    <t>07/18/1990</t>
  </si>
  <si>
    <t>12/09/1989</t>
  </si>
  <si>
    <t>10/31/1934</t>
  </si>
  <si>
    <t>02/25/1989</t>
  </si>
  <si>
    <t>07/08/1972</t>
  </si>
  <si>
    <t>12/29/1989</t>
  </si>
  <si>
    <t>08/13/1973</t>
  </si>
  <si>
    <t>06/17/1963</t>
  </si>
  <si>
    <t>09/25/1946</t>
  </si>
  <si>
    <t>04/04/1954</t>
  </si>
  <si>
    <t>01/12/1981</t>
  </si>
  <si>
    <t>06/08/1961</t>
  </si>
  <si>
    <t>08/28/1970</t>
  </si>
  <si>
    <t>02/17/1981</t>
  </si>
  <si>
    <t>11/03/1984</t>
  </si>
  <si>
    <t>08/20/1948</t>
  </si>
  <si>
    <t>08/07/1966</t>
  </si>
  <si>
    <t>02/23/1973</t>
  </si>
  <si>
    <t>05/24/1969</t>
  </si>
  <si>
    <t>02/06/1966</t>
  </si>
  <si>
    <t>05/22/1963</t>
  </si>
  <si>
    <t>11/16/1960</t>
  </si>
  <si>
    <t>01/09/1941</t>
  </si>
  <si>
    <t>05/01/1969</t>
  </si>
  <si>
    <t>07/14/1966</t>
  </si>
  <si>
    <t>09/17/1981</t>
  </si>
  <si>
    <t>05/31/1962</t>
  </si>
  <si>
    <t>10/02/1967</t>
  </si>
  <si>
    <t>06/13/1947</t>
  </si>
  <si>
    <t>04/15/1950</t>
  </si>
  <si>
    <t>03/03/1949</t>
  </si>
  <si>
    <t>11/05/1948</t>
  </si>
  <si>
    <t>04/02/1956</t>
  </si>
  <si>
    <t>12/13/1946</t>
  </si>
  <si>
    <t>06/26/1978</t>
  </si>
  <si>
    <t>10/20/1962</t>
  </si>
  <si>
    <t>08/18/1980</t>
  </si>
  <si>
    <t>11/21/1992</t>
  </si>
  <si>
    <t>05/29/1986</t>
  </si>
  <si>
    <t>12/20/1946</t>
  </si>
  <si>
    <t>01/19/1988</t>
  </si>
  <si>
    <t>08/25/1952</t>
  </si>
  <si>
    <t>06/27/1966</t>
  </si>
  <si>
    <t>04/21/1961</t>
  </si>
  <si>
    <t>07/10/1978</t>
  </si>
  <si>
    <t>02/10/1957</t>
  </si>
  <si>
    <t>08/14/1955</t>
  </si>
  <si>
    <t>10/20/1952</t>
  </si>
  <si>
    <t>04/04/1963</t>
  </si>
  <si>
    <t>11/15/1969</t>
  </si>
  <si>
    <t>09/23/1975</t>
  </si>
  <si>
    <t>09/01/1960</t>
  </si>
  <si>
    <t>01/23/1962</t>
  </si>
  <si>
    <t>12/01/1958</t>
  </si>
  <si>
    <t>10/06/1974</t>
  </si>
  <si>
    <t>02/07/1958</t>
  </si>
  <si>
    <t>08/08/1955</t>
  </si>
  <si>
    <t>07/08/1962</t>
  </si>
  <si>
    <t>01/29/1968</t>
  </si>
  <si>
    <t>03/29/1980</t>
  </si>
  <si>
    <t>08/23/1976</t>
  </si>
  <si>
    <t>10/26/1959</t>
  </si>
  <si>
    <t>05/05/1983</t>
  </si>
  <si>
    <t>08/23/1936</t>
  </si>
  <si>
    <t>09/21/1960</t>
  </si>
  <si>
    <t>04/27/1990</t>
  </si>
  <si>
    <t>01/08/1983</t>
  </si>
  <si>
    <t>01/18/1971</t>
  </si>
  <si>
    <t>03/17/1975</t>
  </si>
  <si>
    <t>09/24/1937</t>
  </si>
  <si>
    <t>01/31/1968</t>
  </si>
  <si>
    <t>09/30/1957</t>
  </si>
  <si>
    <t>02/03/1977</t>
  </si>
  <si>
    <t>04/14/1975</t>
  </si>
  <si>
    <t>03/21/1974</t>
  </si>
  <si>
    <t>05/02/1960</t>
  </si>
  <si>
    <t>02/03/1948</t>
  </si>
  <si>
    <t>08/19/1949</t>
  </si>
  <si>
    <t>03/04/1989</t>
  </si>
  <si>
    <t>01/09/1955</t>
  </si>
  <si>
    <t>12/24/1954</t>
  </si>
  <si>
    <t>08/07/1992</t>
  </si>
  <si>
    <t>08/16/1967</t>
  </si>
  <si>
    <t>06/19/1968</t>
  </si>
  <si>
    <t>12/29/1973</t>
  </si>
  <si>
    <t>12/08/1966</t>
  </si>
  <si>
    <t>09/23/1986</t>
  </si>
  <si>
    <t>10/14/1959</t>
  </si>
  <si>
    <t>01/22/1965</t>
  </si>
  <si>
    <t>11/02/1962</t>
  </si>
  <si>
    <t>11/01/1954</t>
  </si>
  <si>
    <t>04/12/1974</t>
  </si>
  <si>
    <t>06/12/1952</t>
  </si>
  <si>
    <t>05/08/1960</t>
  </si>
  <si>
    <t>09/13/1983</t>
  </si>
  <si>
    <t>04/26/1987</t>
  </si>
  <si>
    <t>10/05/1968</t>
  </si>
  <si>
    <t>09/14/1969</t>
  </si>
  <si>
    <t>12/03/1965</t>
  </si>
  <si>
    <t>05/10/1927</t>
  </si>
  <si>
    <t>04/15/1945</t>
  </si>
  <si>
    <t>11/18/1987</t>
  </si>
  <si>
    <t>06/07/1966</t>
  </si>
  <si>
    <t>09/03/1970</t>
  </si>
  <si>
    <t>10/05/1951</t>
  </si>
  <si>
    <t>06/11/1971</t>
  </si>
  <si>
    <t>11/08/1967</t>
  </si>
  <si>
    <t>04/24/1945</t>
  </si>
  <si>
    <t>04/29/1963</t>
  </si>
  <si>
    <t>03/21/1964</t>
  </si>
  <si>
    <t>01/01/1986</t>
  </si>
  <si>
    <t>09/19/1949</t>
  </si>
  <si>
    <t>07/26/1937</t>
  </si>
  <si>
    <t>12/19/1998</t>
  </si>
  <si>
    <t>02/09/1976</t>
  </si>
  <si>
    <t>09/08/1987</t>
  </si>
  <si>
    <t>05/26/1961</t>
  </si>
  <si>
    <t>07/06/1947</t>
  </si>
  <si>
    <t>03/10/1971</t>
  </si>
  <si>
    <t>05/03/1968</t>
  </si>
  <si>
    <t>03/29/1974</t>
  </si>
  <si>
    <t>04/15/1987</t>
  </si>
  <si>
    <t>08/09/1975</t>
  </si>
  <si>
    <t>03/13/1967</t>
  </si>
  <si>
    <t>12/03/1979</t>
  </si>
  <si>
    <t>03/29/1955</t>
  </si>
  <si>
    <t>01/19/1967</t>
  </si>
  <si>
    <t>08/06/1952</t>
  </si>
  <si>
    <t>08/31/1968</t>
  </si>
  <si>
    <t>06/09/1958</t>
  </si>
  <si>
    <t>11/29/1957</t>
  </si>
  <si>
    <t>09/22/1958</t>
  </si>
  <si>
    <t>07/17/1970</t>
  </si>
  <si>
    <t>06/30/1959</t>
  </si>
  <si>
    <t>08/20/1943</t>
  </si>
  <si>
    <t>03/12/1971</t>
  </si>
  <si>
    <t>02/06/1983</t>
  </si>
  <si>
    <t>09/23/1981</t>
  </si>
  <si>
    <t>09/08/1996</t>
  </si>
  <si>
    <t>09/18/1962</t>
  </si>
  <si>
    <t>05/25/1973</t>
  </si>
  <si>
    <t>05/15/1970</t>
  </si>
  <si>
    <t>09/10/1981</t>
  </si>
  <si>
    <t>12/24/1925</t>
  </si>
  <si>
    <t>04/25/1967</t>
  </si>
  <si>
    <t>07/06/1955</t>
  </si>
  <si>
    <t>03/11/1941</t>
  </si>
  <si>
    <t>02/01/1979</t>
  </si>
  <si>
    <t>07/30/1966</t>
  </si>
  <si>
    <t>08/29/1974</t>
  </si>
  <si>
    <t>08/19/1961</t>
  </si>
  <si>
    <t>08/24/1944</t>
  </si>
  <si>
    <t>08/12/1937</t>
  </si>
  <si>
    <t>02/19/1988</t>
  </si>
  <si>
    <t>05/15/1955</t>
  </si>
  <si>
    <t>02/10/1987</t>
  </si>
  <si>
    <t>04/30/1979</t>
  </si>
  <si>
    <t>10/13/1959</t>
  </si>
  <si>
    <t>04/13/1965</t>
  </si>
  <si>
    <t>08/31/1940</t>
  </si>
  <si>
    <t>03/04/1954</t>
  </si>
  <si>
    <t>09/17/1952</t>
  </si>
  <si>
    <t>12/14/1948</t>
  </si>
  <si>
    <t>09/02/1960</t>
  </si>
  <si>
    <t>02/26/1977</t>
  </si>
  <si>
    <t>02/08/1971</t>
  </si>
  <si>
    <t>11/02/1976</t>
  </si>
  <si>
    <t>09/13/1962</t>
  </si>
  <si>
    <t>03/30/1937</t>
  </si>
  <si>
    <t>06/04/1967</t>
  </si>
  <si>
    <t>04/19/1996</t>
  </si>
  <si>
    <t>12/09/1964</t>
  </si>
  <si>
    <t>09/04/1970</t>
  </si>
  <si>
    <t>06/30/1963</t>
  </si>
  <si>
    <t>07/06/1996</t>
  </si>
  <si>
    <t>09/01/1988</t>
  </si>
  <si>
    <t>11/02/1985</t>
  </si>
  <si>
    <t>01/29/1975</t>
  </si>
  <si>
    <t>08/11/1974</t>
  </si>
  <si>
    <t>11/06/1977</t>
  </si>
  <si>
    <t>08/07/1969</t>
  </si>
  <si>
    <t>05/21/1964</t>
  </si>
  <si>
    <t>08/04/1960</t>
  </si>
  <si>
    <t>06/24/1963</t>
  </si>
  <si>
    <t>05/01/1951</t>
  </si>
  <si>
    <t>01/09/1988</t>
  </si>
  <si>
    <t>03/01/1993</t>
  </si>
  <si>
    <t>08/13/1967</t>
  </si>
  <si>
    <t>03/19/1966</t>
  </si>
  <si>
    <t>09/02/1961</t>
  </si>
  <si>
    <t>06/03/1987</t>
  </si>
  <si>
    <t>11/18/1989</t>
  </si>
  <si>
    <t>01/08/1941</t>
  </si>
  <si>
    <t>03/25/1954</t>
  </si>
  <si>
    <t>11/18/1982</t>
  </si>
  <si>
    <t>07/20/1970</t>
  </si>
  <si>
    <t>03/28/1980</t>
  </si>
  <si>
    <t>05/09/1990</t>
  </si>
  <si>
    <t>10/30/1929</t>
  </si>
  <si>
    <t>10/04/1973</t>
  </si>
  <si>
    <t>10/08/1981</t>
  </si>
  <si>
    <t>08/05/1986</t>
  </si>
  <si>
    <t>11/07/1956</t>
  </si>
  <si>
    <t>01/11/1984</t>
  </si>
  <si>
    <t>06/06/1971</t>
  </si>
  <si>
    <t>04/07/1970</t>
  </si>
  <si>
    <t>05/30/1929</t>
  </si>
  <si>
    <t>12/19/1969</t>
  </si>
  <si>
    <t>08/28/1978</t>
  </si>
  <si>
    <t>07/29/1963</t>
  </si>
  <si>
    <t>04/21/1986</t>
  </si>
  <si>
    <t>05/06/1976</t>
  </si>
  <si>
    <t>05/12/1991</t>
  </si>
  <si>
    <t>05/18/1957</t>
  </si>
  <si>
    <t>05/21/1970</t>
  </si>
  <si>
    <t>11/12/1975</t>
  </si>
  <si>
    <t>07/24/1945</t>
  </si>
  <si>
    <t>07/01/1994</t>
  </si>
  <si>
    <t>06/19/1975</t>
  </si>
  <si>
    <t>03/13/1960</t>
  </si>
  <si>
    <t>03/22/1978</t>
  </si>
  <si>
    <t>06/27/1967</t>
  </si>
  <si>
    <t>05/09/1961</t>
  </si>
  <si>
    <t>02/24/1995</t>
  </si>
  <si>
    <t>07/16/1947</t>
  </si>
  <si>
    <t>03/12/1978</t>
  </si>
  <si>
    <t>07/14/1984</t>
  </si>
  <si>
    <t>02/16/1975</t>
  </si>
  <si>
    <t>07/13/1959</t>
  </si>
  <si>
    <t>12/05/1978</t>
  </si>
  <si>
    <t>11/19/1958</t>
  </si>
  <si>
    <t>11/04/1968</t>
  </si>
  <si>
    <t>10/13/1972</t>
  </si>
  <si>
    <t>06/17/1994</t>
  </si>
  <si>
    <t>10/15/1957</t>
  </si>
  <si>
    <t>04/19/1950</t>
  </si>
  <si>
    <t>07/11/1961</t>
  </si>
  <si>
    <t>06/26/1988</t>
  </si>
  <si>
    <t>03/11/1962</t>
  </si>
  <si>
    <t>08/18/1947</t>
  </si>
  <si>
    <t>12/06/1946</t>
  </si>
  <si>
    <t>10/10/1974</t>
  </si>
  <si>
    <t>02/08/1967</t>
  </si>
  <si>
    <t>10/22/1949</t>
  </si>
  <si>
    <t>01/16/1951</t>
  </si>
  <si>
    <t>11/01/1968</t>
  </si>
  <si>
    <t>02/13/1971</t>
  </si>
  <si>
    <t>08/25/1962</t>
  </si>
  <si>
    <t>11/03/1963</t>
  </si>
  <si>
    <t>06/03/1943</t>
  </si>
  <si>
    <t>02/10/1937</t>
  </si>
  <si>
    <t>12/14/1981</t>
  </si>
  <si>
    <t>06/28/1971</t>
  </si>
  <si>
    <t>06/08/1958</t>
  </si>
  <si>
    <t>12/23/1980</t>
  </si>
  <si>
    <t>02/18/1981</t>
  </si>
  <si>
    <t>01/18/1976</t>
  </si>
  <si>
    <t>07/14/1969</t>
  </si>
  <si>
    <t>09/05/1934</t>
  </si>
  <si>
    <t>06/05/1965</t>
  </si>
  <si>
    <t>09/12/1981</t>
  </si>
  <si>
    <t>07/05/1953</t>
  </si>
  <si>
    <t>10/10/1942</t>
  </si>
  <si>
    <t>02/25/1981</t>
  </si>
  <si>
    <t>03/05/1975</t>
  </si>
  <si>
    <t>04/02/1982</t>
  </si>
  <si>
    <t>02/16/1973</t>
  </si>
  <si>
    <t>03/17/1966</t>
  </si>
  <si>
    <t>10/02/1956</t>
  </si>
  <si>
    <t>01/06/1979</t>
  </si>
  <si>
    <t>01/31/1987</t>
  </si>
  <si>
    <t>05/09/1978</t>
  </si>
  <si>
    <t>07/03/1960</t>
  </si>
  <si>
    <t>04/03/1962</t>
  </si>
  <si>
    <t>12/12/1969</t>
  </si>
  <si>
    <t>12/16/1947</t>
  </si>
  <si>
    <t>06/06/1965</t>
  </si>
  <si>
    <t>09/28/1971</t>
  </si>
  <si>
    <t>12/02/1951</t>
  </si>
  <si>
    <t>09/02/1971</t>
  </si>
  <si>
    <t>11/13/1951</t>
  </si>
  <si>
    <t>05/27/1953</t>
  </si>
  <si>
    <t>02/09/1952</t>
  </si>
  <si>
    <t>09/18/1936</t>
  </si>
  <si>
    <t>11/09/1961</t>
  </si>
  <si>
    <t>01/10/1992</t>
  </si>
  <si>
    <t>04/11/1951</t>
  </si>
  <si>
    <t>09/19/1956</t>
  </si>
  <si>
    <t>03/27/1989</t>
  </si>
  <si>
    <t>03/24/1959</t>
  </si>
  <si>
    <t>03/21/1989</t>
  </si>
  <si>
    <t>10/28/1975</t>
  </si>
  <si>
    <t>05/08/1946</t>
  </si>
  <si>
    <t>05/07/1990</t>
  </si>
  <si>
    <t>02/21/1961</t>
  </si>
  <si>
    <t>11/29/1972</t>
  </si>
  <si>
    <t>03/30/1956</t>
  </si>
  <si>
    <t>05/01/1996</t>
  </si>
  <si>
    <t>01/14/1953</t>
  </si>
  <si>
    <t>11/18/1984</t>
  </si>
  <si>
    <t>04/09/1987</t>
  </si>
  <si>
    <t>04/06/1958</t>
  </si>
  <si>
    <t>01/19/1936</t>
  </si>
  <si>
    <t>01/31/1967</t>
  </si>
  <si>
    <t>06/11/1982</t>
  </si>
  <si>
    <t>07/02/1971</t>
  </si>
  <si>
    <t>11/19/1973</t>
  </si>
  <si>
    <t>12/12/1954</t>
  </si>
  <si>
    <t>06/10/1957</t>
  </si>
  <si>
    <t>06/06/1950</t>
  </si>
  <si>
    <t>07/19/1962</t>
  </si>
  <si>
    <t>08/07/1950</t>
  </si>
  <si>
    <t>02/20/1962</t>
  </si>
  <si>
    <t>06/05/1950</t>
  </si>
  <si>
    <t>06/01/1938</t>
  </si>
  <si>
    <t>06/09/1965</t>
  </si>
  <si>
    <t>02/03/1993</t>
  </si>
  <si>
    <t>09/22/1969</t>
  </si>
  <si>
    <t>08/14/1982</t>
  </si>
  <si>
    <t>01/22/1961</t>
  </si>
  <si>
    <t>10/16/1979</t>
  </si>
  <si>
    <t>11/25/1968</t>
  </si>
  <si>
    <t>10/10/1957</t>
  </si>
  <si>
    <t>09/30/1972</t>
  </si>
  <si>
    <t>03/19/1992</t>
  </si>
  <si>
    <t>05/03/1956</t>
  </si>
  <si>
    <t>05/21/1984</t>
  </si>
  <si>
    <t>09/04/1959</t>
  </si>
  <si>
    <t>07/20/1992</t>
  </si>
  <si>
    <t>05/21/1980</t>
  </si>
  <si>
    <t>02/10/1969</t>
  </si>
  <si>
    <t>11/28/1960</t>
  </si>
  <si>
    <t>06/10/1976</t>
  </si>
  <si>
    <t>01/19/1975</t>
  </si>
  <si>
    <t>11/13/1948</t>
  </si>
  <si>
    <t>02/17/1969</t>
  </si>
  <si>
    <t>12/04/1973</t>
  </si>
  <si>
    <t>11/08/1993</t>
  </si>
  <si>
    <t>06/24/1960</t>
  </si>
  <si>
    <t>01/18/1947</t>
  </si>
  <si>
    <t>01/11/1953</t>
  </si>
  <si>
    <t>03/16/1986</t>
  </si>
  <si>
    <t>07/18/1989</t>
  </si>
  <si>
    <t>03/22/1970</t>
  </si>
  <si>
    <t>02/04/1981</t>
  </si>
  <si>
    <t>02/17/1991</t>
  </si>
  <si>
    <t>11/13/1965</t>
  </si>
  <si>
    <t>05/02/1982</t>
  </si>
  <si>
    <t>06/23/1984</t>
  </si>
  <si>
    <t>06/21/1961</t>
  </si>
  <si>
    <t>08/19/1988</t>
  </si>
  <si>
    <t>11/07/1967</t>
  </si>
  <si>
    <t>09/11/1959</t>
  </si>
  <si>
    <t>07/09/1972</t>
  </si>
  <si>
    <t>07/20/1961</t>
  </si>
  <si>
    <t>06/30/1960</t>
  </si>
  <si>
    <t>12/29/1962</t>
  </si>
  <si>
    <t>08/13/1965</t>
  </si>
  <si>
    <t>08/22/1963</t>
  </si>
  <si>
    <t>01/01/1971</t>
  </si>
  <si>
    <t>02/03/1966</t>
  </si>
  <si>
    <t>10/26/1972</t>
  </si>
  <si>
    <t>06/29/1991</t>
  </si>
  <si>
    <t>07/25/1979</t>
  </si>
  <si>
    <t>07/01/1978</t>
  </si>
  <si>
    <t>10/22/1987</t>
  </si>
  <si>
    <t>09/21/1965</t>
  </si>
  <si>
    <t>02/16/1992</t>
  </si>
  <si>
    <t>11/15/1952</t>
  </si>
  <si>
    <t>01/31/1990</t>
  </si>
  <si>
    <t>05/24/1971</t>
  </si>
  <si>
    <t>12/24/1961</t>
  </si>
  <si>
    <t>03/04/1951</t>
  </si>
  <si>
    <t>06/13/1977</t>
  </si>
  <si>
    <t>06/02/1955</t>
  </si>
  <si>
    <t>11/21/1965</t>
  </si>
  <si>
    <t>10/21/1968</t>
  </si>
  <si>
    <t>05/20/1995</t>
  </si>
  <si>
    <t>10/30/1960</t>
  </si>
  <si>
    <t>03/04/1938</t>
  </si>
  <si>
    <t>08/10/1951</t>
  </si>
  <si>
    <t>12/13/1957</t>
  </si>
  <si>
    <t>01/22/1987</t>
  </si>
  <si>
    <t>04/26/1989</t>
  </si>
  <si>
    <t>04/19/1987</t>
  </si>
  <si>
    <t>06/14/1965</t>
  </si>
  <si>
    <t>09/22/1949</t>
  </si>
  <si>
    <t>02/07/1954</t>
  </si>
  <si>
    <t>10/16/1952</t>
  </si>
  <si>
    <t>08/01/1943</t>
  </si>
  <si>
    <t>12/27/1946</t>
  </si>
  <si>
    <t>08/18/1967</t>
  </si>
  <si>
    <t>09/15/1969</t>
  </si>
  <si>
    <t>12/30/1963</t>
  </si>
  <si>
    <t>11/29/1963</t>
  </si>
  <si>
    <t>08/20/1978</t>
  </si>
  <si>
    <t>12/01/1969</t>
  </si>
  <si>
    <t>07/21/1984</t>
  </si>
  <si>
    <t>12/03/1981</t>
  </si>
  <si>
    <t>03/08/1949</t>
  </si>
  <si>
    <t>05/27/1976</t>
  </si>
  <si>
    <t>05/10/1995</t>
  </si>
  <si>
    <t>10/11/1958</t>
  </si>
  <si>
    <t>04/06/1990</t>
  </si>
  <si>
    <t>11/17/1982</t>
  </si>
  <si>
    <t>09/23/1963</t>
  </si>
  <si>
    <t>01/21/1948</t>
  </si>
  <si>
    <t>09/01/1953</t>
  </si>
  <si>
    <t>05/18/1971</t>
  </si>
  <si>
    <t>05/18/1983</t>
  </si>
  <si>
    <t>09/19/1978</t>
  </si>
  <si>
    <t>05/25/1997</t>
  </si>
  <si>
    <t>03/31/1985</t>
  </si>
  <si>
    <t>11/10/1981</t>
  </si>
  <si>
    <t>06/01/1979</t>
  </si>
  <si>
    <t>01/14/1971</t>
  </si>
  <si>
    <t>07/20/1984</t>
  </si>
  <si>
    <t>05/29/1975</t>
  </si>
  <si>
    <t>10/04/1972</t>
  </si>
  <si>
    <t>01/10/1989</t>
  </si>
  <si>
    <t>07/13/2019</t>
  </si>
  <si>
    <t>02/26/1965</t>
  </si>
  <si>
    <t>05/12/1976</t>
  </si>
  <si>
    <t>08/31/1983</t>
  </si>
  <si>
    <t>04/16/1967</t>
  </si>
  <si>
    <t>05/30/1980</t>
  </si>
  <si>
    <t>12/11/1981</t>
  </si>
  <si>
    <t>07/31/1970</t>
  </si>
  <si>
    <t>02/11/1982</t>
  </si>
  <si>
    <t>06/19/1981</t>
  </si>
  <si>
    <t>017673880F</t>
  </si>
  <si>
    <t>000-00-0000</t>
  </si>
  <si>
    <t>037678479J</t>
  </si>
  <si>
    <t>037084027E</t>
  </si>
  <si>
    <t>unknown</t>
  </si>
  <si>
    <t>00033547058J</t>
  </si>
  <si>
    <t>N/a</t>
  </si>
  <si>
    <t>not available</t>
  </si>
  <si>
    <t>9279334I</t>
  </si>
  <si>
    <t>032322299c</t>
  </si>
  <si>
    <t>032322299C</t>
  </si>
  <si>
    <t>00015062587J</t>
  </si>
  <si>
    <t>37713934A</t>
  </si>
  <si>
    <t>037606280I</t>
  </si>
  <si>
    <t>3662295-9</t>
  </si>
  <si>
    <t>01107751H</t>
  </si>
  <si>
    <t>004012787A</t>
  </si>
  <si>
    <t>374028228A</t>
  </si>
  <si>
    <t>Unavailable</t>
  </si>
  <si>
    <t>00037540753D</t>
  </si>
  <si>
    <t>2514538E</t>
  </si>
  <si>
    <t>4647469-1</t>
  </si>
  <si>
    <t>000745939J</t>
  </si>
  <si>
    <t>04210731L</t>
  </si>
  <si>
    <t>Not available</t>
  </si>
  <si>
    <t>03078172H</t>
  </si>
  <si>
    <t>005748535B</t>
  </si>
  <si>
    <t>035624995D</t>
  </si>
  <si>
    <t>03756543438B</t>
  </si>
  <si>
    <t>37572302A</t>
  </si>
  <si>
    <t>030151124C</t>
  </si>
  <si>
    <t>009933940A</t>
  </si>
  <si>
    <t>37627759G</t>
  </si>
  <si>
    <t>36932590H</t>
  </si>
  <si>
    <t>009912518J</t>
  </si>
  <si>
    <t>5940670 C</t>
  </si>
  <si>
    <t>036812101 I</t>
  </si>
  <si>
    <t>00030223547I</t>
  </si>
  <si>
    <t>12318083I</t>
  </si>
  <si>
    <t>037432131D</t>
  </si>
  <si>
    <t>018866249I</t>
  </si>
  <si>
    <t>00037671577H</t>
  </si>
  <si>
    <t>037286479D</t>
  </si>
  <si>
    <t>Unknown</t>
  </si>
  <si>
    <t>002920803A</t>
  </si>
  <si>
    <t>8635595-F</t>
  </si>
  <si>
    <t>ZE69278W</t>
  </si>
  <si>
    <t>031567958J</t>
  </si>
  <si>
    <t>008958635I</t>
  </si>
  <si>
    <t>018155124D</t>
  </si>
  <si>
    <t>006265154C</t>
  </si>
  <si>
    <t>03645232E</t>
  </si>
  <si>
    <t>002260959I</t>
  </si>
  <si>
    <t>033636956G</t>
  </si>
  <si>
    <t>00036824950E</t>
  </si>
  <si>
    <t>002490638A</t>
  </si>
  <si>
    <t>021738973C</t>
  </si>
  <si>
    <t>037048355E</t>
  </si>
  <si>
    <t>037692112I</t>
  </si>
  <si>
    <t>031208404J</t>
  </si>
  <si>
    <t>00009048875A</t>
  </si>
  <si>
    <t>WV95484M</t>
  </si>
  <si>
    <t>wv9548m</t>
  </si>
  <si>
    <t>009671184B</t>
  </si>
  <si>
    <t>006453771F</t>
  </si>
  <si>
    <t>005566824I</t>
  </si>
  <si>
    <t>1448589 A</t>
  </si>
  <si>
    <t>002316582C</t>
  </si>
  <si>
    <t>018333465F</t>
  </si>
  <si>
    <t>XN27477W</t>
  </si>
  <si>
    <t>006976669J</t>
  </si>
  <si>
    <t>011791673E</t>
  </si>
  <si>
    <t>00030081131C</t>
  </si>
  <si>
    <t>00030632229 I</t>
  </si>
  <si>
    <t>006110973C</t>
  </si>
  <si>
    <t>006694699H</t>
  </si>
  <si>
    <t>010018822G</t>
  </si>
  <si>
    <t>WX87371X</t>
  </si>
  <si>
    <t>036802726E</t>
  </si>
  <si>
    <t>023267533A</t>
  </si>
  <si>
    <t>017968660F</t>
  </si>
  <si>
    <t>017987191I</t>
  </si>
  <si>
    <t>00014709603G</t>
  </si>
  <si>
    <t>2171609HCL</t>
  </si>
  <si>
    <t>008414814H</t>
  </si>
  <si>
    <t>004483522B</t>
  </si>
  <si>
    <t>Not Available</t>
  </si>
  <si>
    <t>012518875F</t>
  </si>
  <si>
    <t>004381534J</t>
  </si>
  <si>
    <t>37625083D</t>
  </si>
  <si>
    <t>00037006799D</t>
  </si>
  <si>
    <t>033173366H</t>
  </si>
  <si>
    <t>00005967951e</t>
  </si>
  <si>
    <t>zk82756v</t>
  </si>
  <si>
    <t>9382022D</t>
  </si>
  <si>
    <t>034949626F</t>
  </si>
  <si>
    <t>010584813J</t>
  </si>
  <si>
    <t>not avail</t>
  </si>
  <si>
    <t>010750702C</t>
  </si>
  <si>
    <t>ZA4663T</t>
  </si>
  <si>
    <t>00037688543A</t>
  </si>
  <si>
    <t>003454731F</t>
  </si>
  <si>
    <t>017596088J</t>
  </si>
  <si>
    <t>ZG55554C</t>
  </si>
  <si>
    <t>001945174J</t>
  </si>
  <si>
    <t>UC08287E</t>
  </si>
  <si>
    <t>3780864J</t>
  </si>
  <si>
    <t>4179881-1</t>
  </si>
  <si>
    <t>037695307B</t>
  </si>
  <si>
    <t>016751661G</t>
  </si>
  <si>
    <t>004184233H</t>
  </si>
  <si>
    <t>000530379H</t>
  </si>
  <si>
    <t>004145120E</t>
  </si>
  <si>
    <t>038095875B</t>
  </si>
  <si>
    <t>unavailable</t>
  </si>
  <si>
    <t>033147318B</t>
  </si>
  <si>
    <t>014709603G</t>
  </si>
  <si>
    <t>011104302C</t>
  </si>
  <si>
    <t>0033031882F</t>
  </si>
  <si>
    <t>005423328D</t>
  </si>
  <si>
    <t>9230562C-01</t>
  </si>
  <si>
    <t>Y020364E</t>
  </si>
  <si>
    <t>9833470-1</t>
  </si>
  <si>
    <t>Needs to provide</t>
  </si>
  <si>
    <t>034725982C</t>
  </si>
  <si>
    <t>2822854-C</t>
  </si>
  <si>
    <t>013600048G</t>
  </si>
  <si>
    <t>7383543B</t>
  </si>
  <si>
    <t>004743012J</t>
  </si>
  <si>
    <t>013600830H</t>
  </si>
  <si>
    <t>0374077774B</t>
  </si>
  <si>
    <t>8763156A</t>
  </si>
  <si>
    <t>015048581B</t>
  </si>
  <si>
    <t>010337152C</t>
  </si>
  <si>
    <t>13033987C</t>
  </si>
  <si>
    <t>004791837A</t>
  </si>
  <si>
    <t>018865918J</t>
  </si>
  <si>
    <t>012975213F</t>
  </si>
  <si>
    <t>37542346RJ -19</t>
  </si>
  <si>
    <t>2915811A</t>
  </si>
  <si>
    <t>006139334 E</t>
  </si>
  <si>
    <t>015114542C</t>
  </si>
  <si>
    <t>018026914E</t>
  </si>
  <si>
    <t>000-000-000</t>
  </si>
  <si>
    <t>036754541F</t>
  </si>
  <si>
    <t>034316424A</t>
  </si>
  <si>
    <t>00011517556E</t>
  </si>
  <si>
    <t>006427687G</t>
  </si>
  <si>
    <t>008290651C</t>
  </si>
  <si>
    <t>035358990G</t>
  </si>
  <si>
    <t>4089723D</t>
  </si>
  <si>
    <t>014236837C</t>
  </si>
  <si>
    <t>017669929G</t>
  </si>
  <si>
    <t>16241685D</t>
  </si>
  <si>
    <t>003761746B</t>
  </si>
  <si>
    <t>014629800F</t>
  </si>
  <si>
    <t>006100617H</t>
  </si>
  <si>
    <t>036982304C</t>
  </si>
  <si>
    <t>004256545H</t>
  </si>
  <si>
    <t>018800816D</t>
  </si>
  <si>
    <t>018288893D</t>
  </si>
  <si>
    <t>014803813G</t>
  </si>
  <si>
    <t>31984172C</t>
  </si>
  <si>
    <t>004812859J</t>
  </si>
  <si>
    <t>00037751899 I</t>
  </si>
  <si>
    <t>10802715C</t>
  </si>
  <si>
    <t>096-80-6511</t>
  </si>
  <si>
    <t>060-96-8909</t>
  </si>
  <si>
    <t>087-92-8800</t>
  </si>
  <si>
    <t>063-58-9372</t>
  </si>
  <si>
    <t>056-82-1452</t>
  </si>
  <si>
    <t>078-74-7343</t>
  </si>
  <si>
    <t>064-72-9983</t>
  </si>
  <si>
    <t>098-88-9680</t>
  </si>
  <si>
    <t>485-95-1075</t>
  </si>
  <si>
    <t>797-90-5269</t>
  </si>
  <si>
    <t>121-84-5611</t>
  </si>
  <si>
    <t>082-84-9496</t>
  </si>
  <si>
    <t>105-60-2841</t>
  </si>
  <si>
    <t>130-68-3622</t>
  </si>
  <si>
    <t>065-68-2661</t>
  </si>
  <si>
    <t>144-31-4815</t>
  </si>
  <si>
    <t>100-72-5115</t>
  </si>
  <si>
    <t>272-95-2061</t>
  </si>
  <si>
    <t>000-00-8053</t>
  </si>
  <si>
    <t>002-70-8795</t>
  </si>
  <si>
    <t>105-68-5357</t>
  </si>
  <si>
    <t>000-00-2360</t>
  </si>
  <si>
    <t>584-73-2683</t>
  </si>
  <si>
    <t>000-00-7429</t>
  </si>
  <si>
    <t>090-72-9973</t>
  </si>
  <si>
    <t>060-66-9013</t>
  </si>
  <si>
    <t>130-76-9259</t>
  </si>
  <si>
    <t>108-54-3993</t>
  </si>
  <si>
    <t>000-00-4307</t>
  </si>
  <si>
    <t>050-72-6742</t>
  </si>
  <si>
    <t>111-72-4331</t>
  </si>
  <si>
    <t>063-58-3885</t>
  </si>
  <si>
    <t>000-00-8022</t>
  </si>
  <si>
    <t>127-60-0446</t>
  </si>
  <si>
    <t>133-80-9120</t>
  </si>
  <si>
    <t>000-00-5432</t>
  </si>
  <si>
    <t>064-58-7548</t>
  </si>
  <si>
    <t>111-72-5519</t>
  </si>
  <si>
    <t>157-08-8925</t>
  </si>
  <si>
    <t>558-74-0236</t>
  </si>
  <si>
    <t>567-71-7821</t>
  </si>
  <si>
    <t>000-00-3666</t>
  </si>
  <si>
    <t>113-84-5029</t>
  </si>
  <si>
    <t>093-82-7646</t>
  </si>
  <si>
    <t>000-00-3578</t>
  </si>
  <si>
    <t>057-58-4306</t>
  </si>
  <si>
    <t>105-82-3029</t>
  </si>
  <si>
    <t>076-82-7319</t>
  </si>
  <si>
    <t>582-53-0401</t>
  </si>
  <si>
    <t>095-64-8997</t>
  </si>
  <si>
    <t>214-17-0949</t>
  </si>
  <si>
    <t>090-74-0325</t>
  </si>
  <si>
    <t>115-50-4779</t>
  </si>
  <si>
    <t>127-88-0878</t>
  </si>
  <si>
    <t>240-19-9335</t>
  </si>
  <si>
    <t>090-82-9550</t>
  </si>
  <si>
    <t>066-86-5824</t>
  </si>
  <si>
    <t>085-86-8623</t>
  </si>
  <si>
    <t>126-68-1171</t>
  </si>
  <si>
    <t>064-82-5579</t>
  </si>
  <si>
    <t>111-66-6471</t>
  </si>
  <si>
    <t>100-72-2513</t>
  </si>
  <si>
    <t>107-66-1627</t>
  </si>
  <si>
    <t>059-62-6576</t>
  </si>
  <si>
    <t>099-80-8189</t>
  </si>
  <si>
    <t>127-68-2900</t>
  </si>
  <si>
    <t>643-91-2283</t>
  </si>
  <si>
    <t>214-87-7100</t>
  </si>
  <si>
    <t>123-80-4006</t>
  </si>
  <si>
    <t>000-00-5757</t>
  </si>
  <si>
    <t>097-56-3138</t>
  </si>
  <si>
    <t>134-82-4930</t>
  </si>
  <si>
    <t>204-25-2738</t>
  </si>
  <si>
    <t>059-58-9571</t>
  </si>
  <si>
    <t>080-66-6759</t>
  </si>
  <si>
    <t>088-78-0994</t>
  </si>
  <si>
    <t>476-92-5143</t>
  </si>
  <si>
    <t>075-86-2185</t>
  </si>
  <si>
    <t>053-50-5580</t>
  </si>
  <si>
    <t>562-89-4337</t>
  </si>
  <si>
    <t>119-60-5903</t>
  </si>
  <si>
    <t>000-00-9201</t>
  </si>
  <si>
    <t>098-58-3477</t>
  </si>
  <si>
    <t>072-52-9933</t>
  </si>
  <si>
    <t>123-56-8341</t>
  </si>
  <si>
    <t>119-76-9003</t>
  </si>
  <si>
    <t>247-74-2787</t>
  </si>
  <si>
    <t>212-35-5398</t>
  </si>
  <si>
    <t>076-68-6376</t>
  </si>
  <si>
    <t>052-78-6062</t>
  </si>
  <si>
    <t>118-82-5418</t>
  </si>
  <si>
    <t>126-55-4980</t>
  </si>
  <si>
    <t>064-48-9922</t>
  </si>
  <si>
    <t>100-54-7876</t>
  </si>
  <si>
    <t>133-48-4104</t>
  </si>
  <si>
    <t>086-62-9196</t>
  </si>
  <si>
    <t>057-88-9987</t>
  </si>
  <si>
    <t>064-58-7630</t>
  </si>
  <si>
    <t>084-68-5274</t>
  </si>
  <si>
    <t>227-72-1230</t>
  </si>
  <si>
    <t>107-24-8067</t>
  </si>
  <si>
    <t>583-35-1366</t>
  </si>
  <si>
    <t>146-35-7950</t>
  </si>
  <si>
    <t>108-64-8148</t>
  </si>
  <si>
    <t>055-76-9600</t>
  </si>
  <si>
    <t>216-90-2648</t>
  </si>
  <si>
    <t>083-64-4372</t>
  </si>
  <si>
    <t>096-56-7589</t>
  </si>
  <si>
    <t>057-90-1360</t>
  </si>
  <si>
    <t>107-76-5984</t>
  </si>
  <si>
    <t>114-74-5262</t>
  </si>
  <si>
    <t>000-00-8533</t>
  </si>
  <si>
    <t>000-00-6936</t>
  </si>
  <si>
    <t>085-52-2717</t>
  </si>
  <si>
    <t>116-78-1789</t>
  </si>
  <si>
    <t>062-96-0051</t>
  </si>
  <si>
    <t>101-92-8354</t>
  </si>
  <si>
    <t>000-00-9287</t>
  </si>
  <si>
    <t>078-66-2160</t>
  </si>
  <si>
    <t>117-56-9577</t>
  </si>
  <si>
    <t>125-58-8426</t>
  </si>
  <si>
    <t>052-86-1152</t>
  </si>
  <si>
    <t>113-68-0200</t>
  </si>
  <si>
    <t>192-54-0241</t>
  </si>
  <si>
    <t>000-00-2744</t>
  </si>
  <si>
    <t>000-00-1825</t>
  </si>
  <si>
    <t>093-74-8889</t>
  </si>
  <si>
    <t>106-80-0605</t>
  </si>
  <si>
    <t>078-80-0235</t>
  </si>
  <si>
    <t>115-86-0918</t>
  </si>
  <si>
    <t>106-76-4351</t>
  </si>
  <si>
    <t>576-31-9499</t>
  </si>
  <si>
    <t>097-54-9364</t>
  </si>
  <si>
    <t>059-58-8647</t>
  </si>
  <si>
    <t>071-72-1789</t>
  </si>
  <si>
    <t>080-42-9929</t>
  </si>
  <si>
    <t>147-54-8241</t>
  </si>
  <si>
    <t>090-84-9289</t>
  </si>
  <si>
    <t>591-88-9632</t>
  </si>
  <si>
    <t>658-29-4649</t>
  </si>
  <si>
    <t>107-70-5267</t>
  </si>
  <si>
    <t>123-56-6527</t>
  </si>
  <si>
    <t>055-70-1324</t>
  </si>
  <si>
    <t>419-37-8798</t>
  </si>
  <si>
    <t>105-96-4969</t>
  </si>
  <si>
    <t>072-76-6814</t>
  </si>
  <si>
    <t>108-80-7706</t>
  </si>
  <si>
    <t>088-74-3728</t>
  </si>
  <si>
    <t>000-00-3685</t>
  </si>
  <si>
    <t>145-76-8212</t>
  </si>
  <si>
    <t>120-70-4658</t>
  </si>
  <si>
    <t>045-04-0378</t>
  </si>
  <si>
    <t>000-00-0427</t>
  </si>
  <si>
    <t>227-75-5421</t>
  </si>
  <si>
    <t>090-84-8536</t>
  </si>
  <si>
    <t>096-58-6839</t>
  </si>
  <si>
    <t>112-70-5333</t>
  </si>
  <si>
    <t>093-70-5767</t>
  </si>
  <si>
    <t>486-78-1679</t>
  </si>
  <si>
    <t>067-58-8053</t>
  </si>
  <si>
    <t>058-56-2439</t>
  </si>
  <si>
    <t>094-58-1320</t>
  </si>
  <si>
    <t>115-52-9638</t>
  </si>
  <si>
    <t>088-46-7644</t>
  </si>
  <si>
    <t>094-02-5191</t>
  </si>
  <si>
    <t>083-80-0138</t>
  </si>
  <si>
    <t>105-60-5069</t>
  </si>
  <si>
    <t>116-66-2535</t>
  </si>
  <si>
    <t>398-88-4174</t>
  </si>
  <si>
    <t>116-60-5536</t>
  </si>
  <si>
    <t>119-78-3124</t>
  </si>
  <si>
    <t>098-74-5317</t>
  </si>
  <si>
    <t>101-58-9975</t>
  </si>
  <si>
    <t>835-26-6225</t>
  </si>
  <si>
    <t>072-54-7402</t>
  </si>
  <si>
    <t>593-64-9081</t>
  </si>
  <si>
    <t>127-58-0075</t>
  </si>
  <si>
    <t>085-64-7147</t>
  </si>
  <si>
    <t>086-62-0111</t>
  </si>
  <si>
    <t>121-70-1371</t>
  </si>
  <si>
    <t>131-78-0295</t>
  </si>
  <si>
    <t>082-56-4010</t>
  </si>
  <si>
    <t>598-16-7837</t>
  </si>
  <si>
    <t>122-70-6748</t>
  </si>
  <si>
    <t>056-88-6442</t>
  </si>
  <si>
    <t>074-86-1212</t>
  </si>
  <si>
    <t>062-78-4582</t>
  </si>
  <si>
    <t>097-64-0950</t>
  </si>
  <si>
    <t>050-58-0192</t>
  </si>
  <si>
    <t>066-66-1450</t>
  </si>
  <si>
    <t>134-60-9442</t>
  </si>
  <si>
    <t>372-84-5289</t>
  </si>
  <si>
    <t>623-08-2052</t>
  </si>
  <si>
    <t>128-92-8905</t>
  </si>
  <si>
    <t>072-48-3478</t>
  </si>
  <si>
    <t>118-66-9945</t>
  </si>
  <si>
    <t>348-62-0253</t>
  </si>
  <si>
    <t>243-75-7400</t>
  </si>
  <si>
    <t>099-42-8739</t>
  </si>
  <si>
    <t>582-27-2529</t>
  </si>
  <si>
    <t>125-34-3188</t>
  </si>
  <si>
    <t>040-04-2795</t>
  </si>
  <si>
    <t>073-70-5097</t>
  </si>
  <si>
    <t>066-86-4507</t>
  </si>
  <si>
    <t>596-10-0548</t>
  </si>
  <si>
    <t>089-64-6514</t>
  </si>
  <si>
    <t>090-68-1494</t>
  </si>
  <si>
    <t>061-58-4701</t>
  </si>
  <si>
    <t>000-00-7281</t>
  </si>
  <si>
    <t>056-76-0375</t>
  </si>
  <si>
    <t>093-86-4588</t>
  </si>
  <si>
    <t>117-68-8378</t>
  </si>
  <si>
    <t>053-78-2518</t>
  </si>
  <si>
    <t>116-82-3984</t>
  </si>
  <si>
    <t>119-74-8433</t>
  </si>
  <si>
    <t>072-58-3201</t>
  </si>
  <si>
    <t>182-94-9772</t>
  </si>
  <si>
    <t>130-98-8445</t>
  </si>
  <si>
    <t>106-84-7286</t>
  </si>
  <si>
    <t>145-13-2292</t>
  </si>
  <si>
    <t>089-88-3569</t>
  </si>
  <si>
    <t>055-68-8951</t>
  </si>
  <si>
    <t>584-31-2432</t>
  </si>
  <si>
    <t>000-00-7454</t>
  </si>
  <si>
    <t>095-62-5959</t>
  </si>
  <si>
    <t>058-66-2147</t>
  </si>
  <si>
    <t>082-60-7633</t>
  </si>
  <si>
    <t>099-52-9805</t>
  </si>
  <si>
    <t>072-66-2408</t>
  </si>
  <si>
    <t>087-86-4402</t>
  </si>
  <si>
    <t>062-52-4199</t>
  </si>
  <si>
    <t>076-86-9957</t>
  </si>
  <si>
    <t>101-90-3599</t>
  </si>
  <si>
    <t>000-00-4995</t>
  </si>
  <si>
    <t>082-46-7060</t>
  </si>
  <si>
    <t>781-32-1331</t>
  </si>
  <si>
    <t>075-44-4059</t>
  </si>
  <si>
    <t>231-17-4273</t>
  </si>
  <si>
    <t>090-50-8173</t>
  </si>
  <si>
    <t>147-89-3242</t>
  </si>
  <si>
    <t>113-70-8725</t>
  </si>
  <si>
    <t>069-72-7109</t>
  </si>
  <si>
    <t>057-58-8387</t>
  </si>
  <si>
    <t>127-68-8798</t>
  </si>
  <si>
    <t>260-39-2242</t>
  </si>
  <si>
    <t>115-90-2839</t>
  </si>
  <si>
    <t>089-68-0342</t>
  </si>
  <si>
    <t>091-80-0654</t>
  </si>
  <si>
    <t>085-72-1739</t>
  </si>
  <si>
    <t>078-70-4086</t>
  </si>
  <si>
    <t>061-86-6148</t>
  </si>
  <si>
    <t>000-00-0301</t>
  </si>
  <si>
    <t>128-48-3275</t>
  </si>
  <si>
    <t>000-00-1979</t>
  </si>
  <si>
    <t>081-56-7111</t>
  </si>
  <si>
    <t>120-74-5250</t>
  </si>
  <si>
    <t>067-78-3057</t>
  </si>
  <si>
    <t>592-33-4514</t>
  </si>
  <si>
    <t>105-60-5976</t>
  </si>
  <si>
    <t>054-60-0972</t>
  </si>
  <si>
    <t>101-66-9806</t>
  </si>
  <si>
    <t>060-90-4861</t>
  </si>
  <si>
    <t>120-34-5269</t>
  </si>
  <si>
    <t>075-66-6280</t>
  </si>
  <si>
    <t>120-56-0808</t>
  </si>
  <si>
    <t>119-84-0064</t>
  </si>
  <si>
    <t>236-02-0058</t>
  </si>
  <si>
    <t>067-64-8634</t>
  </si>
  <si>
    <t>093-74-2374</t>
  </si>
  <si>
    <t>099-58-7158</t>
  </si>
  <si>
    <t>112-58-0464</t>
  </si>
  <si>
    <t>057-50-8883</t>
  </si>
  <si>
    <t>123-54-6854</t>
  </si>
  <si>
    <t>090-64-2104</t>
  </si>
  <si>
    <t>060-60-5459</t>
  </si>
  <si>
    <t>124-82-2769</t>
  </si>
  <si>
    <t>112-62-7576</t>
  </si>
  <si>
    <t>058-58-7195</t>
  </si>
  <si>
    <t>134-96-3516</t>
  </si>
  <si>
    <t>000-00-4216</t>
  </si>
  <si>
    <t>081-40-2205</t>
  </si>
  <si>
    <t>117-62-0932</t>
  </si>
  <si>
    <t>098-94-3587</t>
  </si>
  <si>
    <t>060-76-6373</t>
  </si>
  <si>
    <t>000-00-9645</t>
  </si>
  <si>
    <t>129-58-2330</t>
  </si>
  <si>
    <t>057-72-7330</t>
  </si>
  <si>
    <t>059-62-4508</t>
  </si>
  <si>
    <t>069-70-1662</t>
  </si>
  <si>
    <t>096-36-8722</t>
  </si>
  <si>
    <t>109-66-5774</t>
  </si>
  <si>
    <t>000-00-7048</t>
  </si>
  <si>
    <t>109-72-7516</t>
  </si>
  <si>
    <t>583-96-5909</t>
  </si>
  <si>
    <t>098-54-5212</t>
  </si>
  <si>
    <t>081-56-5874</t>
  </si>
  <si>
    <t>096-84-7683</t>
  </si>
  <si>
    <t>581-97-2461</t>
  </si>
  <si>
    <t>073-86-4945</t>
  </si>
  <si>
    <t>073-64-7390</t>
  </si>
  <si>
    <t>251-57-2300</t>
  </si>
  <si>
    <t>071-60-6177</t>
  </si>
  <si>
    <t>084-56-8573</t>
  </si>
  <si>
    <t>099-76-1528</t>
  </si>
  <si>
    <t>000-00-7480</t>
  </si>
  <si>
    <t>051-60-7216</t>
  </si>
  <si>
    <t>127-96-7620</t>
  </si>
  <si>
    <t>074-60-5023</t>
  </si>
  <si>
    <t>096-30-6271</t>
  </si>
  <si>
    <t>116-56-9672</t>
  </si>
  <si>
    <t>100-60-0024</t>
  </si>
  <si>
    <t>057-90-4057</t>
  </si>
  <si>
    <t>059-66-4834</t>
  </si>
  <si>
    <t>069-58-3444</t>
  </si>
  <si>
    <t>050-70-5504</t>
  </si>
  <si>
    <t>098-56-3990</t>
  </si>
  <si>
    <t>582-47-4732</t>
  </si>
  <si>
    <t>105-68-4147</t>
  </si>
  <si>
    <t>104-56-2006</t>
  </si>
  <si>
    <t>110-46-8522</t>
  </si>
  <si>
    <t>000-00-8192</t>
  </si>
  <si>
    <t>096-62-7716</t>
  </si>
  <si>
    <t>058-80-0591</t>
  </si>
  <si>
    <t>205-44-4216</t>
  </si>
  <si>
    <t>112-98-9221</t>
  </si>
  <si>
    <t>265-99-6698</t>
  </si>
  <si>
    <t>068-90-1392</t>
  </si>
  <si>
    <t>127-42-5546</t>
  </si>
  <si>
    <t>096-56-9898</t>
  </si>
  <si>
    <t>072-54-9330</t>
  </si>
  <si>
    <t>066-76-5444</t>
  </si>
  <si>
    <t>069-68-4613</t>
  </si>
  <si>
    <t>140-48-8902</t>
  </si>
  <si>
    <t>081-56-0955</t>
  </si>
  <si>
    <t>359-78-7522</t>
  </si>
  <si>
    <t>112-98-8334</t>
  </si>
  <si>
    <t>377-44-8873</t>
  </si>
  <si>
    <t>097-56-2596</t>
  </si>
  <si>
    <t>085-02-7666</t>
  </si>
  <si>
    <t>118-56-1550</t>
  </si>
  <si>
    <t>072-48-5680</t>
  </si>
  <si>
    <t>000-00-4538</t>
  </si>
  <si>
    <t>058-50-5191</t>
  </si>
  <si>
    <t>583-78-2300</t>
  </si>
  <si>
    <t>584-22-5295</t>
  </si>
  <si>
    <t>111-58-9135</t>
  </si>
  <si>
    <t>110-56-3223</t>
  </si>
  <si>
    <t>066-84-2062</t>
  </si>
  <si>
    <t>114-80-9830</t>
  </si>
  <si>
    <t>120-75-3614</t>
  </si>
  <si>
    <t>106-68-9482</t>
  </si>
  <si>
    <t>581-88-8112</t>
  </si>
  <si>
    <t>052-82-8861</t>
  </si>
  <si>
    <t>000-00-4219</t>
  </si>
  <si>
    <t>745-13-9509</t>
  </si>
  <si>
    <t>131-96-0148</t>
  </si>
  <si>
    <t>581-75-9889</t>
  </si>
  <si>
    <t>084-50-9809</t>
  </si>
  <si>
    <t>080-70-3580</t>
  </si>
  <si>
    <t>096-54-4276</t>
  </si>
  <si>
    <t>119-82-9788</t>
  </si>
  <si>
    <t>000-00-2145</t>
  </si>
  <si>
    <t>129-36-3367</t>
  </si>
  <si>
    <t>000-00-4676</t>
  </si>
  <si>
    <t>127-52-2311</t>
  </si>
  <si>
    <t>100-54-7668</t>
  </si>
  <si>
    <t>052-36-9177</t>
  </si>
  <si>
    <t>730-14-5584</t>
  </si>
  <si>
    <t>131-74-9419</t>
  </si>
  <si>
    <t>076-34-7710</t>
  </si>
  <si>
    <t>063-78-5847</t>
  </si>
  <si>
    <t>581-39-3031</t>
  </si>
  <si>
    <t>104-52-0126</t>
  </si>
  <si>
    <t>062-54-6005</t>
  </si>
  <si>
    <t>053-88-5925</t>
  </si>
  <si>
    <t>086-48-2152</t>
  </si>
  <si>
    <t>102-70-5029</t>
  </si>
  <si>
    <t>057-92-5679</t>
  </si>
  <si>
    <t>094-58-3516</t>
  </si>
  <si>
    <t>074-36-3120</t>
  </si>
  <si>
    <t>114-78-5084</t>
  </si>
  <si>
    <t>090-34-6179</t>
  </si>
  <si>
    <t>374-66-0640</t>
  </si>
  <si>
    <t>166-46-1092</t>
  </si>
  <si>
    <t>000-00-8902</t>
  </si>
  <si>
    <t>424-89-3007</t>
  </si>
  <si>
    <t>000-00-6286</t>
  </si>
  <si>
    <t>104-40-9953</t>
  </si>
  <si>
    <t>359-58-3514</t>
  </si>
  <si>
    <t>117-82-4105</t>
  </si>
  <si>
    <t>126-48-0614</t>
  </si>
  <si>
    <t>422-76-4273</t>
  </si>
  <si>
    <t>122-82-8922</t>
  </si>
  <si>
    <t>070-78-1970</t>
  </si>
  <si>
    <t>056-62-2617</t>
  </si>
  <si>
    <t>052-46-5357</t>
  </si>
  <si>
    <t>085-50-2719</t>
  </si>
  <si>
    <t>584-08-5697</t>
  </si>
  <si>
    <t>081-90-0466</t>
  </si>
  <si>
    <t>731-01-6741</t>
  </si>
  <si>
    <t>732-58-8729</t>
  </si>
  <si>
    <t>094-56-8464</t>
  </si>
  <si>
    <t>051-82-3570</t>
  </si>
  <si>
    <t>082-42-8885</t>
  </si>
  <si>
    <t>119-40-9191</t>
  </si>
  <si>
    <t>233-02-0051</t>
  </si>
  <si>
    <t>091-64-4525</t>
  </si>
  <si>
    <t>101-02-7535</t>
  </si>
  <si>
    <t>131-32-6499</t>
  </si>
  <si>
    <t>116-78-3571</t>
  </si>
  <si>
    <t>121-62-9499</t>
  </si>
  <si>
    <t>096-46-5308</t>
  </si>
  <si>
    <t>583-54-9823</t>
  </si>
  <si>
    <t>106-76-7872</t>
  </si>
  <si>
    <t>099-68-2305</t>
  </si>
  <si>
    <t>099-70-1409</t>
  </si>
  <si>
    <t>117-94-2357</t>
  </si>
  <si>
    <t>106-90-2668</t>
  </si>
  <si>
    <t>088-42-4781</t>
  </si>
  <si>
    <t>057-80-5643</t>
  </si>
  <si>
    <t>094-56-5789</t>
  </si>
  <si>
    <t>154-72-0727</t>
  </si>
  <si>
    <t>093-70-5727</t>
  </si>
  <si>
    <t>105-50-3704</t>
  </si>
  <si>
    <t>097-66-2653</t>
  </si>
  <si>
    <t>093-68-7923</t>
  </si>
  <si>
    <t>599-03-3944</t>
  </si>
  <si>
    <t>377-04-0695</t>
  </si>
  <si>
    <t>108-28-2340</t>
  </si>
  <si>
    <t>155-58-8467</t>
  </si>
  <si>
    <t>212-68-3264</t>
  </si>
  <si>
    <t>077-70-4462</t>
  </si>
  <si>
    <t>093-82-9730</t>
  </si>
  <si>
    <t>118-46-3293</t>
  </si>
  <si>
    <t>111-66-3225</t>
  </si>
  <si>
    <t>000-00-0529</t>
  </si>
  <si>
    <t>098-56-2102</t>
  </si>
  <si>
    <t>059-62-9331</t>
  </si>
  <si>
    <t>082-52-7119</t>
  </si>
  <si>
    <t>449-94-2903</t>
  </si>
  <si>
    <t>582-21-1860</t>
  </si>
  <si>
    <t>118-44-0723</t>
  </si>
  <si>
    <t>055-58-5346</t>
  </si>
  <si>
    <t>097-60-3286</t>
  </si>
  <si>
    <t>267-02-9739</t>
  </si>
  <si>
    <t>099-44-0354</t>
  </si>
  <si>
    <t>123-88-5390</t>
  </si>
  <si>
    <t>000-00-9077</t>
  </si>
  <si>
    <t>133-58-3032</t>
  </si>
  <si>
    <t>000-00-9752</t>
  </si>
  <si>
    <t>000-00-3398</t>
  </si>
  <si>
    <t>053-84-8766</t>
  </si>
  <si>
    <t>055-50-8675</t>
  </si>
  <si>
    <t>095-64-3185</t>
  </si>
  <si>
    <t>052-54-5396</t>
  </si>
  <si>
    <t>625-71-9125</t>
  </si>
  <si>
    <t>122-40-9040</t>
  </si>
  <si>
    <t>279-52-0987</t>
  </si>
  <si>
    <t>067-70-6245</t>
  </si>
  <si>
    <t>123-68-8724</t>
  </si>
  <si>
    <t>103-50-8117</t>
  </si>
  <si>
    <t>067-64-3361</t>
  </si>
  <si>
    <t>119-52-5006</t>
  </si>
  <si>
    <t>104-32-0617</t>
  </si>
  <si>
    <t>116-44-8410</t>
  </si>
  <si>
    <t>156-72-1990</t>
  </si>
  <si>
    <t>061-74-3568</t>
  </si>
  <si>
    <t>120-44-0988</t>
  </si>
  <si>
    <t>091-42-9046</t>
  </si>
  <si>
    <t>581-46-3019</t>
  </si>
  <si>
    <t>059-70-1586</t>
  </si>
  <si>
    <t>117-34-4421</t>
  </si>
  <si>
    <t>056-98-5022</t>
  </si>
  <si>
    <t>999-99-9999</t>
  </si>
  <si>
    <t>000-00-3913</t>
  </si>
  <si>
    <t>250-04-4650</t>
  </si>
  <si>
    <t>062-02-5344</t>
  </si>
  <si>
    <t>069-72-5393</t>
  </si>
  <si>
    <t>094-62-6919</t>
  </si>
  <si>
    <t>065-26-1368</t>
  </si>
  <si>
    <t>067-72-0783</t>
  </si>
  <si>
    <t>083-64-9169</t>
  </si>
  <si>
    <t>583-13-9590</t>
  </si>
  <si>
    <t>087-68-2342</t>
  </si>
  <si>
    <t>128-92-0344</t>
  </si>
  <si>
    <t>069-82-0022</t>
  </si>
  <si>
    <t>076-58-6967</t>
  </si>
  <si>
    <t>195-86-5442</t>
  </si>
  <si>
    <t>085-60-7695</t>
  </si>
  <si>
    <t>121-66-2238</t>
  </si>
  <si>
    <t>098-02-9496</t>
  </si>
  <si>
    <t>087-88-1015</t>
  </si>
  <si>
    <t>062-54-5804</t>
  </si>
  <si>
    <t>111-86-9048</t>
  </si>
  <si>
    <t>053-90-4428</t>
  </si>
  <si>
    <t>163-42-5038</t>
  </si>
  <si>
    <t>085-72-7021</t>
  </si>
  <si>
    <t>581-67-1674</t>
  </si>
  <si>
    <t>080-52-9201</t>
  </si>
  <si>
    <t>124-74-0657</t>
  </si>
  <si>
    <t>069-56-4280</t>
  </si>
  <si>
    <t>123-88-2249</t>
  </si>
  <si>
    <t>127-78-2850</t>
  </si>
  <si>
    <t>127-60-7211</t>
  </si>
  <si>
    <t>121-98-2773</t>
  </si>
  <si>
    <t>083-86-5042</t>
  </si>
  <si>
    <t>859-21-5813</t>
  </si>
  <si>
    <t>075-84-5743</t>
  </si>
  <si>
    <t>109-60-8783</t>
  </si>
  <si>
    <t>091-70-5239</t>
  </si>
  <si>
    <t>125-52-9600</t>
  </si>
  <si>
    <t>096-66-5787</t>
  </si>
  <si>
    <t>070-46-7829</t>
  </si>
  <si>
    <t>098-54-8767</t>
  </si>
  <si>
    <t>085-58-9145</t>
  </si>
  <si>
    <t>052-70-0892</t>
  </si>
  <si>
    <t>068-48-8275</t>
  </si>
  <si>
    <t>000-00-9949</t>
  </si>
  <si>
    <t>000-00-1191</t>
  </si>
  <si>
    <t>112-82-2612</t>
  </si>
  <si>
    <t>164-78-6578</t>
  </si>
  <si>
    <t>063-66-0266</t>
  </si>
  <si>
    <t>088-76-8918</t>
  </si>
  <si>
    <t>071-40-6716</t>
  </si>
  <si>
    <t>057-14-3966</t>
  </si>
  <si>
    <t>083-60-3258</t>
  </si>
  <si>
    <t>085-48-7962</t>
  </si>
  <si>
    <t>821-13-0266</t>
  </si>
  <si>
    <t>126-64-5469</t>
  </si>
  <si>
    <t>084-60-8407</t>
  </si>
  <si>
    <t>055-58-5672</t>
  </si>
  <si>
    <t>758-37-0163</t>
  </si>
  <si>
    <t>072-60-5573</t>
  </si>
  <si>
    <t>110-82-2652</t>
  </si>
  <si>
    <t>078-48-7120</t>
  </si>
  <si>
    <t>065-64-9016</t>
  </si>
  <si>
    <t>025-64-6550</t>
  </si>
  <si>
    <t>071-60-6615</t>
  </si>
  <si>
    <t>055-02-3688</t>
  </si>
  <si>
    <t>096-68-6113</t>
  </si>
  <si>
    <t>065-40-7700</t>
  </si>
  <si>
    <t>078-74-6038</t>
  </si>
  <si>
    <t>073-62-7777</t>
  </si>
  <si>
    <t>115-90-7341</t>
  </si>
  <si>
    <t>000-00-0349</t>
  </si>
  <si>
    <t>111-86-8786</t>
  </si>
  <si>
    <t>092-82-5997</t>
  </si>
  <si>
    <t>088-42-6232</t>
  </si>
  <si>
    <t>063-50-2805</t>
  </si>
  <si>
    <t>771-17-5754</t>
  </si>
  <si>
    <t>000-00-4473</t>
  </si>
  <si>
    <t>059-86-9495</t>
  </si>
  <si>
    <t>053-68-6319</t>
  </si>
  <si>
    <t>118-54-2101</t>
  </si>
  <si>
    <t>075-56-2947</t>
  </si>
  <si>
    <t>110-42-7376</t>
  </si>
  <si>
    <t>096-88-6073</t>
  </si>
  <si>
    <t>068-58-6529</t>
  </si>
  <si>
    <t>546-77-2211</t>
  </si>
  <si>
    <t>057-92-6427</t>
  </si>
  <si>
    <t>583-20-9056</t>
  </si>
  <si>
    <t>117-56-3604</t>
  </si>
  <si>
    <t>082-66-4599</t>
  </si>
  <si>
    <t>134-70-7159</t>
  </si>
  <si>
    <t>078-70-5975</t>
  </si>
  <si>
    <t>074-96-3794</t>
  </si>
  <si>
    <t>575-89-6932</t>
  </si>
  <si>
    <t>061-44-4435</t>
  </si>
  <si>
    <t>865-86-7838</t>
  </si>
  <si>
    <t>055-74-5765</t>
  </si>
  <si>
    <t>064-32-8222</t>
  </si>
  <si>
    <t>262-93-0699</t>
  </si>
  <si>
    <t>122-36-9434</t>
  </si>
  <si>
    <t>233-76-1052</t>
  </si>
  <si>
    <t>115-88-2778</t>
  </si>
  <si>
    <t>079-82-7030</t>
  </si>
  <si>
    <t>049-70-2432</t>
  </si>
  <si>
    <t>000-00-8850</t>
  </si>
  <si>
    <t>128-84-3364</t>
  </si>
  <si>
    <t>090-90-8268</t>
  </si>
  <si>
    <t>071-44-0364</t>
  </si>
  <si>
    <t>113-82-2794</t>
  </si>
  <si>
    <t>072-82-1692</t>
  </si>
  <si>
    <t>729-18-7560</t>
  </si>
  <si>
    <t>236-66-5231</t>
  </si>
  <si>
    <t>127-66-3917</t>
  </si>
  <si>
    <t>000-00-9649</t>
  </si>
  <si>
    <t>126-68-5017</t>
  </si>
  <si>
    <t>102-52-7374</t>
  </si>
  <si>
    <t>057-56-7231</t>
  </si>
  <si>
    <t>133-70-9471</t>
  </si>
  <si>
    <t>126-98-0485</t>
  </si>
  <si>
    <t>064-96-9060</t>
  </si>
  <si>
    <t>749-94-5494</t>
  </si>
  <si>
    <t>062-48-9591</t>
  </si>
  <si>
    <t>084-78-2051</t>
  </si>
  <si>
    <t>054-58-6878</t>
  </si>
  <si>
    <t>127-84-4500</t>
  </si>
  <si>
    <t>118-46-9004</t>
  </si>
  <si>
    <t>134-28-7924</t>
  </si>
  <si>
    <t>091-44-1808</t>
  </si>
  <si>
    <t>348-28-0144</t>
  </si>
  <si>
    <t>129-50-1474</t>
  </si>
  <si>
    <t>071-46-3302</t>
  </si>
  <si>
    <t>129-30-7516</t>
  </si>
  <si>
    <t>128-82-2855</t>
  </si>
  <si>
    <t>061-32-8680</t>
  </si>
  <si>
    <t>079-50-0331</t>
  </si>
  <si>
    <t>119-50-7277</t>
  </si>
  <si>
    <t>130-58-8477</t>
  </si>
  <si>
    <t>068-90-9927</t>
  </si>
  <si>
    <t>581-64-4634</t>
  </si>
  <si>
    <t>054-46-8797</t>
  </si>
  <si>
    <t>148-60-1760</t>
  </si>
  <si>
    <t>893-94-1879</t>
  </si>
  <si>
    <t>103-02-9984</t>
  </si>
  <si>
    <t>120-54-2166</t>
  </si>
  <si>
    <t>133-78-3215</t>
  </si>
  <si>
    <t>583-47-7551</t>
  </si>
  <si>
    <t>079-70-2682</t>
  </si>
  <si>
    <t>089-70-0842</t>
  </si>
  <si>
    <t>000-00-4409</t>
  </si>
  <si>
    <t>075-44-4203</t>
  </si>
  <si>
    <t>061-68-7477</t>
  </si>
  <si>
    <t>084-86-7598</t>
  </si>
  <si>
    <t>073-76-0735</t>
  </si>
  <si>
    <t>590-26-6788</t>
  </si>
  <si>
    <t>055-86-1731</t>
  </si>
  <si>
    <t>000-00-5760</t>
  </si>
  <si>
    <t>000-00-7163</t>
  </si>
  <si>
    <t>108-40-6603</t>
  </si>
  <si>
    <t>050-36-4562</t>
  </si>
  <si>
    <t>061-80-4181</t>
  </si>
  <si>
    <t>097-70-5274</t>
  </si>
  <si>
    <t>092-40-7625</t>
  </si>
  <si>
    <t>000-00-1223</t>
  </si>
  <si>
    <t>582-61-3047</t>
  </si>
  <si>
    <t>156-49-6673</t>
  </si>
  <si>
    <t>056-84-1403</t>
  </si>
  <si>
    <t>580-37-4487</t>
  </si>
  <si>
    <t>073-02-1406</t>
  </si>
  <si>
    <t>109-46-4981</t>
  </si>
  <si>
    <t>197-32-6777</t>
  </si>
  <si>
    <t>579-11-3183</t>
  </si>
  <si>
    <t>580-27-5785</t>
  </si>
  <si>
    <t>591-01-4055</t>
  </si>
  <si>
    <t>589-23-4399</t>
  </si>
  <si>
    <t>053-66-8690</t>
  </si>
  <si>
    <t>097-46-4066</t>
  </si>
  <si>
    <t>074-46-1890</t>
  </si>
  <si>
    <t>073-58-8666</t>
  </si>
  <si>
    <t>125-66-6953</t>
  </si>
  <si>
    <t>074-78-2751</t>
  </si>
  <si>
    <t>111-52-6259</t>
  </si>
  <si>
    <t>000-00-7844</t>
  </si>
  <si>
    <t>072-74-4734</t>
  </si>
  <si>
    <t>066-34-0320</t>
  </si>
  <si>
    <t>074-82-6407</t>
  </si>
  <si>
    <t>084-54-3623</t>
  </si>
  <si>
    <t>083-76-7025</t>
  </si>
  <si>
    <t>149-70-9947</t>
  </si>
  <si>
    <t>043-52-2819</t>
  </si>
  <si>
    <t>127-64-1503</t>
  </si>
  <si>
    <t>050-36-5867</t>
  </si>
  <si>
    <t>126-70-9635</t>
  </si>
  <si>
    <t>106-46-8872</t>
  </si>
  <si>
    <t>100-78-4734</t>
  </si>
  <si>
    <t>128-54-3729</t>
  </si>
  <si>
    <t>074-36-6882</t>
  </si>
  <si>
    <t>142-91-6874</t>
  </si>
  <si>
    <t>093-84-9934</t>
  </si>
  <si>
    <t>099-44-7045</t>
  </si>
  <si>
    <t>762-13-1563</t>
  </si>
  <si>
    <t>065-82-4071</t>
  </si>
  <si>
    <t>583-44-3866</t>
  </si>
  <si>
    <t>110-90-6591</t>
  </si>
  <si>
    <t>106-48-9252</t>
  </si>
  <si>
    <t>088-94-2041</t>
  </si>
  <si>
    <t>862-69-8155</t>
  </si>
  <si>
    <t>118-64-5781</t>
  </si>
  <si>
    <t>111-60-5783</t>
  </si>
  <si>
    <t>099-56-8292</t>
  </si>
  <si>
    <t>000-00-2391</t>
  </si>
  <si>
    <t>091-90-2357</t>
  </si>
  <si>
    <t>104-40-2638</t>
  </si>
  <si>
    <t>104-92-3063</t>
  </si>
  <si>
    <t>113-56-5950</t>
  </si>
  <si>
    <t>095-84-4694</t>
  </si>
  <si>
    <t>113-40-8268</t>
  </si>
  <si>
    <t>050-96-0460</t>
  </si>
  <si>
    <t>305-54-6795</t>
  </si>
  <si>
    <t>103-74-8303</t>
  </si>
  <si>
    <t>056-50-8110</t>
  </si>
  <si>
    <t>109-88-3339</t>
  </si>
  <si>
    <t>081-68-8799</t>
  </si>
  <si>
    <t>072-98-3866</t>
  </si>
  <si>
    <t>105-34-4504</t>
  </si>
  <si>
    <t>084-72-5841</t>
  </si>
  <si>
    <t>238-47-0292</t>
  </si>
  <si>
    <t>088-98-0666</t>
  </si>
  <si>
    <t>101-38-3154</t>
  </si>
  <si>
    <t>089-62-5893</t>
  </si>
  <si>
    <t>129-78-0632</t>
  </si>
  <si>
    <t>100-80-5792</t>
  </si>
  <si>
    <t>556-84-6639</t>
  </si>
  <si>
    <t>064-56-8677</t>
  </si>
  <si>
    <t>102-62-2887</t>
  </si>
  <si>
    <t>067-58-3872</t>
  </si>
  <si>
    <t>104-58-3968</t>
  </si>
  <si>
    <t>069-46-7647</t>
  </si>
  <si>
    <t>255-21-1421</t>
  </si>
  <si>
    <t>062-70-8859</t>
  </si>
  <si>
    <t>670-51-1002</t>
  </si>
  <si>
    <t>174-95-0848</t>
  </si>
  <si>
    <t>584-58-3965</t>
  </si>
  <si>
    <t>584-66-0346</t>
  </si>
  <si>
    <t>050-94-8190</t>
  </si>
  <si>
    <t>127-84-5060</t>
  </si>
  <si>
    <t>593-03-3171</t>
  </si>
  <si>
    <t>103-70-7197</t>
  </si>
  <si>
    <t>099-72-6148</t>
  </si>
  <si>
    <t>000-00-6832</t>
  </si>
  <si>
    <t>084-84-8419</t>
  </si>
  <si>
    <t>127-84-1342</t>
  </si>
  <si>
    <t>057-88-6806</t>
  </si>
  <si>
    <t>408-69-3048</t>
  </si>
  <si>
    <t>090-52-5150</t>
  </si>
  <si>
    <t>053-96-7708</t>
  </si>
  <si>
    <t>050-92-6559</t>
  </si>
  <si>
    <t>115-66-0820</t>
  </si>
  <si>
    <t>000-00-7833</t>
  </si>
  <si>
    <t>115-78-4315</t>
  </si>
  <si>
    <t>578-72-1205</t>
  </si>
  <si>
    <t>090-82-4511</t>
  </si>
  <si>
    <t>096-70-7786</t>
  </si>
  <si>
    <t>582-21-6737</t>
  </si>
  <si>
    <t>355-45-7393</t>
  </si>
  <si>
    <t>000-00-5422</t>
  </si>
  <si>
    <t>073-58-1818</t>
  </si>
  <si>
    <t>078-58-3146</t>
  </si>
  <si>
    <t>130-48-7994</t>
  </si>
  <si>
    <t>065-44-9294</t>
  </si>
  <si>
    <t>094-86-0115</t>
  </si>
  <si>
    <t>125-64-7009</t>
  </si>
  <si>
    <t>054-78-4405</t>
  </si>
  <si>
    <t>246-65-7650</t>
  </si>
  <si>
    <t>128-26-5162</t>
  </si>
  <si>
    <t>478-21-9172</t>
  </si>
  <si>
    <t>786-42-0731</t>
  </si>
  <si>
    <t>068-80-4361</t>
  </si>
  <si>
    <t>112-36-5156</t>
  </si>
  <si>
    <t>067-46-5820</t>
  </si>
  <si>
    <t>110-64-2921</t>
  </si>
  <si>
    <t>182-82-1883</t>
  </si>
  <si>
    <t>062-68-2973</t>
  </si>
  <si>
    <t>049-58-8076</t>
  </si>
  <si>
    <t>092-68-5331</t>
  </si>
  <si>
    <t>113-54-3790</t>
  </si>
  <si>
    <t>052-82-3973</t>
  </si>
  <si>
    <t>000-00-9952</t>
  </si>
  <si>
    <t>673-76-1425</t>
  </si>
  <si>
    <t>054-34-5683</t>
  </si>
  <si>
    <t>103-82-4642</t>
  </si>
  <si>
    <t>070-88-7611</t>
  </si>
  <si>
    <t>143-97-7751</t>
  </si>
  <si>
    <t>133-76-2262</t>
  </si>
  <si>
    <t>102-98-2065</t>
  </si>
  <si>
    <t>128-64-3054</t>
  </si>
  <si>
    <t>070-46-5123</t>
  </si>
  <si>
    <t>075-82-8008</t>
  </si>
  <si>
    <t>070-42-5556</t>
  </si>
  <si>
    <t>298-46-7618</t>
  </si>
  <si>
    <t>140-86-9516</t>
  </si>
  <si>
    <t>066-50-7724</t>
  </si>
  <si>
    <t>053-66-4297</t>
  </si>
  <si>
    <t>580-37-7897</t>
  </si>
  <si>
    <t>592-54-5775</t>
  </si>
  <si>
    <t>433-73-3540</t>
  </si>
  <si>
    <t>094-02-9016</t>
  </si>
  <si>
    <t>300-56-3275</t>
  </si>
  <si>
    <t>023-58-6984</t>
  </si>
  <si>
    <t>072-50-6590</t>
  </si>
  <si>
    <t>059-54-9523</t>
  </si>
  <si>
    <t>088-42-1417</t>
  </si>
  <si>
    <t>000-00-7664</t>
  </si>
  <si>
    <t>112-92-4236</t>
  </si>
  <si>
    <t>098-88-0607</t>
  </si>
  <si>
    <t>732-05-5208</t>
  </si>
  <si>
    <t>158-52-0769</t>
  </si>
  <si>
    <t>052-54-2516</t>
  </si>
  <si>
    <t>125-46-3667</t>
  </si>
  <si>
    <t>068-48-5106</t>
  </si>
  <si>
    <t>000-00-4848</t>
  </si>
  <si>
    <t>086-72-8728</t>
  </si>
  <si>
    <t>063-64-3960</t>
  </si>
  <si>
    <t>056-60-8341</t>
  </si>
  <si>
    <t>081-52-8059</t>
  </si>
  <si>
    <t>057-86-3392</t>
  </si>
  <si>
    <t>110-82-0129</t>
  </si>
  <si>
    <t>685-63-5137</t>
  </si>
  <si>
    <t>126-76-6025</t>
  </si>
  <si>
    <t>114-66-1673</t>
  </si>
  <si>
    <t>060-58-2207</t>
  </si>
  <si>
    <t>096-58-9214</t>
  </si>
  <si>
    <t>428-66-0813</t>
  </si>
  <si>
    <t>131-70-9663</t>
  </si>
  <si>
    <t>134-46-6941</t>
  </si>
  <si>
    <t>114-96-7528</t>
  </si>
  <si>
    <t>129-90-2688</t>
  </si>
  <si>
    <t>063-56-5490</t>
  </si>
  <si>
    <t>126-62-9928</t>
  </si>
  <si>
    <t>050-40-3168</t>
  </si>
  <si>
    <t>081-80-6178</t>
  </si>
  <si>
    <t>116-80-6742</t>
  </si>
  <si>
    <t>101-50-5485</t>
  </si>
  <si>
    <t>054-48-0009</t>
  </si>
  <si>
    <t>108-80-3819</t>
  </si>
  <si>
    <t>157-80-1043</t>
  </si>
  <si>
    <t>122-78-2974</t>
  </si>
  <si>
    <t>715-26-5027</t>
  </si>
  <si>
    <t>102-60-5194</t>
  </si>
  <si>
    <t>000-00-1452</t>
  </si>
  <si>
    <t>102-96-8739</t>
  </si>
  <si>
    <t>124-56-2820</t>
  </si>
  <si>
    <t>118-52-0961</t>
  </si>
  <si>
    <t>069-72-8929</t>
  </si>
  <si>
    <t>373-64-5954</t>
  </si>
  <si>
    <t>580-21-5981</t>
  </si>
  <si>
    <t>131-68-2755</t>
  </si>
  <si>
    <t>114-96-7551</t>
  </si>
  <si>
    <t>082-50-2255</t>
  </si>
  <si>
    <t>152-68-4308</t>
  </si>
  <si>
    <t>120-44-2173</t>
  </si>
  <si>
    <t>102-62-7314</t>
  </si>
  <si>
    <t>113-74-1313</t>
  </si>
  <si>
    <t>134-62-1203</t>
  </si>
  <si>
    <t>056-58-9041</t>
  </si>
  <si>
    <t>060-56-5169</t>
  </si>
  <si>
    <t>096-96-8484</t>
  </si>
  <si>
    <t>126-50-9074</t>
  </si>
  <si>
    <t>428-94-4442</t>
  </si>
  <si>
    <t>093-58-9057</t>
  </si>
  <si>
    <t>126-13-7947</t>
  </si>
  <si>
    <t>083-40-9234</t>
  </si>
  <si>
    <t>093-36-9010</t>
  </si>
  <si>
    <t>675-03-4943</t>
  </si>
  <si>
    <t>315-06-3690</t>
  </si>
  <si>
    <t>000-00-0518</t>
  </si>
  <si>
    <t>000-00-7216</t>
  </si>
  <si>
    <t>050-38-5481</t>
  </si>
  <si>
    <t>129-60-0035</t>
  </si>
  <si>
    <t>099-72-5450</t>
  </si>
  <si>
    <t>062-68-9410</t>
  </si>
  <si>
    <t>089-72-2213</t>
  </si>
  <si>
    <t>103-62-0516</t>
  </si>
  <si>
    <t>094-64-9085</t>
  </si>
  <si>
    <t>083-56-1560</t>
  </si>
  <si>
    <t>081-44-6643</t>
  </si>
  <si>
    <t>000-00-7392</t>
  </si>
  <si>
    <t>119-70-6629</t>
  </si>
  <si>
    <t>000-00-0689</t>
  </si>
  <si>
    <t>078-74-8545</t>
  </si>
  <si>
    <t>134-32-0118</t>
  </si>
  <si>
    <t>000-00-3670</t>
  </si>
  <si>
    <t>722-13-3343</t>
  </si>
  <si>
    <t>069-66-9869</t>
  </si>
  <si>
    <t>070-86-6463</t>
  </si>
  <si>
    <t>116-72-0032</t>
  </si>
  <si>
    <t>061-02-8917</t>
  </si>
  <si>
    <t>062-68-0411</t>
  </si>
  <si>
    <t>044-70-4495</t>
  </si>
  <si>
    <t>584-47-4471</t>
  </si>
  <si>
    <t>125-44-0319</t>
  </si>
  <si>
    <t>000-00-5113</t>
  </si>
  <si>
    <t>050-64-0113</t>
  </si>
  <si>
    <t>133-62-9631</t>
  </si>
  <si>
    <t>226-98-9547</t>
  </si>
  <si>
    <t>064-58-5051</t>
  </si>
  <si>
    <t>076-56-8506</t>
  </si>
  <si>
    <t>055-64-9501</t>
  </si>
  <si>
    <t>057-34-1734</t>
  </si>
  <si>
    <t>595-21-9558</t>
  </si>
  <si>
    <t>056-40-1468</t>
  </si>
  <si>
    <t>100-76-6561</t>
  </si>
  <si>
    <t>111-64-6730</t>
  </si>
  <si>
    <t>074-62-1096</t>
  </si>
  <si>
    <t>061-34-2606</t>
  </si>
  <si>
    <t>100-54-1483</t>
  </si>
  <si>
    <t>582-11-8987</t>
  </si>
  <si>
    <t>057-78-0673</t>
  </si>
  <si>
    <t>106-60-2025</t>
  </si>
  <si>
    <t>104-80-7661</t>
  </si>
  <si>
    <t>124-92-1988</t>
  </si>
  <si>
    <t>083-86-5750</t>
  </si>
  <si>
    <t>103-34-4797</t>
  </si>
  <si>
    <t>093-58-6703</t>
  </si>
  <si>
    <t>735-38-5204</t>
  </si>
  <si>
    <t>134-58-3988</t>
  </si>
  <si>
    <t>069-58-0202</t>
  </si>
  <si>
    <t>053-92-3642</t>
  </si>
  <si>
    <t>138-06-2503</t>
  </si>
  <si>
    <t>085-70-0759</t>
  </si>
  <si>
    <t>101-87-9429</t>
  </si>
  <si>
    <t>000-00-8489</t>
  </si>
  <si>
    <t>063-92-1504</t>
  </si>
  <si>
    <t>069-64-1702</t>
  </si>
  <si>
    <t>090-56-8808</t>
  </si>
  <si>
    <t>896-74-1437</t>
  </si>
  <si>
    <t>054-60-7154</t>
  </si>
  <si>
    <t>073-56-9766</t>
  </si>
  <si>
    <t>103-84-5988</t>
  </si>
  <si>
    <t>130-84-7273</t>
  </si>
  <si>
    <t>089-52-0390</t>
  </si>
  <si>
    <t>000-00-1788</t>
  </si>
  <si>
    <t>055-34-4046</t>
  </si>
  <si>
    <t>128-44-8364</t>
  </si>
  <si>
    <t>438-49-9018</t>
  </si>
  <si>
    <t>110-78-3969</t>
  </si>
  <si>
    <t>070-60-1058</t>
  </si>
  <si>
    <t>129-82-1910</t>
  </si>
  <si>
    <t>060-66-4045</t>
  </si>
  <si>
    <t>041-88-0006</t>
  </si>
  <si>
    <t>116-72-8003</t>
  </si>
  <si>
    <t>089-68-5504</t>
  </si>
  <si>
    <t>187-70-7024</t>
  </si>
  <si>
    <t>085-58-3440</t>
  </si>
  <si>
    <t>054-26-4400</t>
  </si>
  <si>
    <t>086-60-7260</t>
  </si>
  <si>
    <t>090-84-3408</t>
  </si>
  <si>
    <t>076-64-4349</t>
  </si>
  <si>
    <t>058-72-0224</t>
  </si>
  <si>
    <t>057-80-7038</t>
  </si>
  <si>
    <t>113-70-4557</t>
  </si>
  <si>
    <t>132-80-0224</t>
  </si>
  <si>
    <t>147-13-1967</t>
  </si>
  <si>
    <t>050-84-9419</t>
  </si>
  <si>
    <t>069-90-7973</t>
  </si>
  <si>
    <t>729-07-8907</t>
  </si>
  <si>
    <t>000-00-1064</t>
  </si>
  <si>
    <t>093-58-4886</t>
  </si>
  <si>
    <t>060-58-9508</t>
  </si>
  <si>
    <t>092-84-3259</t>
  </si>
  <si>
    <t>000-00-2748</t>
  </si>
  <si>
    <t>106-80-1752</t>
  </si>
  <si>
    <t>159-70-0169</t>
  </si>
  <si>
    <t>116-62-3061</t>
  </si>
  <si>
    <t>080-74-0099</t>
  </si>
  <si>
    <t>125-90-6190</t>
  </si>
  <si>
    <t>127-60-5998</t>
  </si>
  <si>
    <t>076-62-1553</t>
  </si>
  <si>
    <t>000-00-0432</t>
  </si>
  <si>
    <t>065-64-2804</t>
  </si>
  <si>
    <t>077-44-8917</t>
  </si>
  <si>
    <t>069-56-1544</t>
  </si>
  <si>
    <t>041-84-6055</t>
  </si>
  <si>
    <t>116-36-4468</t>
  </si>
  <si>
    <t>084-36-8017</t>
  </si>
  <si>
    <t>134-58-9602</t>
  </si>
  <si>
    <t>076-58-8477</t>
  </si>
  <si>
    <t>103-44-9046</t>
  </si>
  <si>
    <t>091-42-0814</t>
  </si>
  <si>
    <t>058-62-1216</t>
  </si>
  <si>
    <t>000-00-1216</t>
  </si>
  <si>
    <t>141-78-4009</t>
  </si>
  <si>
    <t>141-68-6532</t>
  </si>
  <si>
    <t>000-00-6127</t>
  </si>
  <si>
    <t>061-34-8157</t>
  </si>
  <si>
    <t>070-46-5684</t>
  </si>
  <si>
    <t>677-94-7661</t>
  </si>
  <si>
    <t>611-26-9717</t>
  </si>
  <si>
    <t>131-58-5938</t>
  </si>
  <si>
    <t>075-92-6576</t>
  </si>
  <si>
    <t>067-82-0067</t>
  </si>
  <si>
    <t>584-79-0525</t>
  </si>
  <si>
    <t>000-00-0194</t>
  </si>
  <si>
    <t>091-58-4895</t>
  </si>
  <si>
    <t>050-28-0673</t>
  </si>
  <si>
    <t>064-68-6086</t>
  </si>
  <si>
    <t>439-37-4001</t>
  </si>
  <si>
    <t>090-34-2657</t>
  </si>
  <si>
    <t>065-72-6768</t>
  </si>
  <si>
    <t>083-58-7244</t>
  </si>
  <si>
    <t>106-66-0506</t>
  </si>
  <si>
    <t>085-88-0704</t>
  </si>
  <si>
    <t>111-64-5953</t>
  </si>
  <si>
    <t>025-46-5873</t>
  </si>
  <si>
    <t>134-62-9568</t>
  </si>
  <si>
    <t>100-72-1934</t>
  </si>
  <si>
    <t>068-88-6285</t>
  </si>
  <si>
    <t>072-92-4190</t>
  </si>
  <si>
    <t>051-84-2494</t>
  </si>
  <si>
    <t>115-40-5657</t>
  </si>
  <si>
    <t>070-02-3583</t>
  </si>
  <si>
    <t>097-56-8616</t>
  </si>
  <si>
    <t>000-00-4565</t>
  </si>
  <si>
    <t>129-50-5338</t>
  </si>
  <si>
    <t>107-88-5728</t>
  </si>
  <si>
    <t>053-44-6454</t>
  </si>
  <si>
    <t>223-48-3072</t>
  </si>
  <si>
    <t>000-00-3006</t>
  </si>
  <si>
    <t>119-90-8146</t>
  </si>
  <si>
    <t>131-42-9257</t>
  </si>
  <si>
    <t>074-68-3568</t>
  </si>
  <si>
    <t>006-88-6307</t>
  </si>
  <si>
    <t>103-50-9704</t>
  </si>
  <si>
    <t>059-76-5877</t>
  </si>
  <si>
    <t>070-36-0278</t>
  </si>
  <si>
    <t>000-00-2000</t>
  </si>
  <si>
    <t>063-56-7181</t>
  </si>
  <si>
    <t>578-06-6739</t>
  </si>
  <si>
    <t>126-48-0476</t>
  </si>
  <si>
    <t>060-86-2355</t>
  </si>
  <si>
    <t>075-46-2203</t>
  </si>
  <si>
    <t>086-70-2456</t>
  </si>
  <si>
    <t>366-21-7739</t>
  </si>
  <si>
    <t>085-50-3388</t>
  </si>
  <si>
    <t>061-82-7372</t>
  </si>
  <si>
    <t>089-62-7038</t>
  </si>
  <si>
    <t>133-90-1176</t>
  </si>
  <si>
    <t>128-48-8728</t>
  </si>
  <si>
    <t>128-80-5920</t>
  </si>
  <si>
    <t>583-11-3015</t>
  </si>
  <si>
    <t>106-34-1599</t>
  </si>
  <si>
    <t>858-94-6918</t>
  </si>
  <si>
    <t>614-68-0110</t>
  </si>
  <si>
    <t>208-58-9688</t>
  </si>
  <si>
    <t>117-70-7974</t>
  </si>
  <si>
    <t>065-56-8975</t>
  </si>
  <si>
    <t>069-64-3494</t>
  </si>
  <si>
    <t>132-88-0017</t>
  </si>
  <si>
    <t>581-15-9658</t>
  </si>
  <si>
    <t>000-00-9115</t>
  </si>
  <si>
    <t>086-80-8212</t>
  </si>
  <si>
    <t>128-50-3227</t>
  </si>
  <si>
    <t>065-70-5629</t>
  </si>
  <si>
    <t>000-00-2160</t>
  </si>
  <si>
    <t>092-80-0426</t>
  </si>
  <si>
    <t>568-61-3225</t>
  </si>
  <si>
    <t>000-00-4743</t>
  </si>
  <si>
    <t>115-60-4516</t>
  </si>
  <si>
    <t>132-36-2113</t>
  </si>
  <si>
    <t>082-56-6937</t>
  </si>
  <si>
    <t>125-68-8738</t>
  </si>
  <si>
    <t>603-70-6655</t>
  </si>
  <si>
    <t>093-54-1189</t>
  </si>
  <si>
    <t>123-60-1188</t>
  </si>
  <si>
    <t>099-52-7433</t>
  </si>
  <si>
    <t>186-70-5725</t>
  </si>
  <si>
    <t>092-76-6481</t>
  </si>
  <si>
    <t>061-98-9525</t>
  </si>
  <si>
    <t>519-39-2805</t>
  </si>
  <si>
    <t>085-76-7156</t>
  </si>
  <si>
    <t>107-68-4705</t>
  </si>
  <si>
    <t>101-50-5332</t>
  </si>
  <si>
    <t>004-72-8629</t>
  </si>
  <si>
    <t>120-54-8259</t>
  </si>
  <si>
    <t>125-54-5343</t>
  </si>
  <si>
    <t>000-00-5343</t>
  </si>
  <si>
    <t>000-00-5025</t>
  </si>
  <si>
    <t>052-82-2957</t>
  </si>
  <si>
    <t>079-60-0683</t>
  </si>
  <si>
    <t>098-64-8015</t>
  </si>
  <si>
    <t>198-72-0111</t>
  </si>
  <si>
    <t>080-64-8187</t>
  </si>
  <si>
    <t>115-62-9440</t>
  </si>
  <si>
    <t>627-20-2678</t>
  </si>
  <si>
    <t>255-83-0669</t>
  </si>
  <si>
    <t>045-40-3737</t>
  </si>
  <si>
    <t>580-04-1530</t>
  </si>
  <si>
    <t>051-56-8784</t>
  </si>
  <si>
    <t>209-40-2166</t>
  </si>
  <si>
    <t>593-36-0702</t>
  </si>
  <si>
    <t>065-50-7123</t>
  </si>
  <si>
    <t>103-84-5400</t>
  </si>
  <si>
    <t>000-00-1199</t>
  </si>
  <si>
    <t>164-54-6271</t>
  </si>
  <si>
    <t>176-76-1304</t>
  </si>
  <si>
    <t>103-18-1422</t>
  </si>
  <si>
    <t>133-58-6816</t>
  </si>
  <si>
    <t>076-50-8841</t>
  </si>
  <si>
    <t>069-76-7824</t>
  </si>
  <si>
    <t>102-50-9783</t>
  </si>
  <si>
    <t>017-70-7033</t>
  </si>
  <si>
    <t>054-70-7207</t>
  </si>
  <si>
    <t>155-40-3672</t>
  </si>
  <si>
    <t>088-40-4774</t>
  </si>
  <si>
    <t>055-40-0059</t>
  </si>
  <si>
    <t>072-58-6750</t>
  </si>
  <si>
    <t>117-62-7802</t>
  </si>
  <si>
    <t>104-54-1885</t>
  </si>
  <si>
    <t>057-60-4094</t>
  </si>
  <si>
    <t>000-00-0578</t>
  </si>
  <si>
    <t>000-00-7706</t>
  </si>
  <si>
    <t>249-81-5160</t>
  </si>
  <si>
    <t>251-65-9262</t>
  </si>
  <si>
    <t>044-90-2463</t>
  </si>
  <si>
    <t>105-30-4113</t>
  </si>
  <si>
    <t>549-02-9948</t>
  </si>
  <si>
    <t>088-72-2873</t>
  </si>
  <si>
    <t>492-11-8787</t>
  </si>
  <si>
    <t>117-86-6544</t>
  </si>
  <si>
    <t>124-76-7374</t>
  </si>
  <si>
    <t>068-58-2749</t>
  </si>
  <si>
    <t>065-46-0754</t>
  </si>
  <si>
    <t>083-68-6866</t>
  </si>
  <si>
    <t>609-24-9962</t>
  </si>
  <si>
    <t>129-66-4028</t>
  </si>
  <si>
    <t>594-41-6078</t>
  </si>
  <si>
    <t>398-65-6349</t>
  </si>
  <si>
    <t>366-96-3121</t>
  </si>
  <si>
    <t>532-94-6576</t>
  </si>
  <si>
    <t>490-82-7965</t>
  </si>
  <si>
    <t>100-68-0083</t>
  </si>
  <si>
    <t>449-91-3667</t>
  </si>
  <si>
    <t>111-70-1310</t>
  </si>
  <si>
    <t>000-00-0303</t>
  </si>
  <si>
    <t>414-63-2438</t>
  </si>
  <si>
    <t>082-58-6054</t>
  </si>
  <si>
    <t>000-00-5374</t>
  </si>
  <si>
    <t>000-00-1612</t>
  </si>
  <si>
    <t>029-64-3712</t>
  </si>
  <si>
    <t>068-68-6129</t>
  </si>
  <si>
    <t>216-98-7491</t>
  </si>
  <si>
    <t>057-68-2109</t>
  </si>
  <si>
    <t>Unregulated</t>
  </si>
  <si>
    <t>Rent Stabilized</t>
  </si>
  <si>
    <t>Public Housing</t>
  </si>
  <si>
    <t>HDFC</t>
  </si>
  <si>
    <t>Mitchell-Lama</t>
  </si>
  <si>
    <t>Other Subsidized Housing</t>
  </si>
  <si>
    <t>Public Housing/NYCHA</t>
  </si>
  <si>
    <t>Project-based Sec. 8</t>
  </si>
  <si>
    <t>Low Income Tax Credit</t>
  </si>
  <si>
    <t>Rent Controlled</t>
  </si>
  <si>
    <t>Supportive Housing</t>
  </si>
  <si>
    <t>Unregulated – Other</t>
  </si>
  <si>
    <t>Unregulated – Co-Op</t>
  </si>
  <si>
    <t>Unregulated – Sublet</t>
  </si>
  <si>
    <t>Tenant-interim-lease</t>
  </si>
  <si>
    <t>Section 8</t>
  </si>
  <si>
    <t>City FEPS</t>
  </si>
  <si>
    <t>FEPS</t>
  </si>
  <si>
    <t>HUD VASH</t>
  </si>
  <si>
    <t>HASA</t>
  </si>
  <si>
    <t>DRIE/SCRIE</t>
  </si>
  <si>
    <t>SEPS</t>
  </si>
  <si>
    <t>LINC</t>
  </si>
  <si>
    <t>Pathways Home</t>
  </si>
  <si>
    <t>11/28/2016</t>
  </si>
  <si>
    <t>04/04/2018</t>
  </si>
  <si>
    <t>10/26/2019</t>
  </si>
  <si>
    <t>FJC Waiver</t>
  </si>
  <si>
    <t>Income Waiver</t>
  </si>
  <si>
    <t>Zip Code Waiver</t>
  </si>
  <si>
    <t>English</t>
  </si>
  <si>
    <t>Spanish</t>
  </si>
  <si>
    <t>Bengali</t>
  </si>
  <si>
    <t>Finnish</t>
  </si>
  <si>
    <t>Korean</t>
  </si>
  <si>
    <t>French</t>
  </si>
  <si>
    <t>Cantonese</t>
  </si>
  <si>
    <t>Polish</t>
  </si>
  <si>
    <t>Arabic</t>
  </si>
  <si>
    <t>Samoan</t>
  </si>
  <si>
    <t>Creole</t>
  </si>
  <si>
    <t>Chinese/Cantonese</t>
  </si>
  <si>
    <t>Amer. Sign Lang.</t>
  </si>
  <si>
    <t>French Creole</t>
  </si>
  <si>
    <t>Greek</t>
  </si>
  <si>
    <t>Mandarin</t>
  </si>
  <si>
    <t>Chinese/Mandarin</t>
  </si>
  <si>
    <t>Portuguese</t>
  </si>
  <si>
    <t>Russian</t>
  </si>
  <si>
    <t xml:space="preserve">Chinese </t>
  </si>
  <si>
    <t>DHCI requirement waived re building wide initiative in opposition to Facial Recognition</t>
  </si>
  <si>
    <t>Waiver obtained for DHCI and SSN</t>
  </si>
  <si>
    <t>No TNo TRC funding because cant get retainer</t>
  </si>
  <si>
    <t>possible; dup release and DHCI in 19-1910612</t>
  </si>
  <si>
    <t>DHCI waived for Bnkcy clients in building wide NEBHDCO actions</t>
  </si>
  <si>
    <t>4/18 - HPLP if case is filed; TRC if not. Need consent &amp; DHCI</t>
  </si>
  <si>
    <t>4/10 - need consent + DHCI or active CA/SNAP # entered</t>
  </si>
  <si>
    <t>Case Notes are in 19-1911193</t>
  </si>
  <si>
    <t>PA Advocacy for Index LT-065317-19/KI</t>
  </si>
  <si>
    <t>PA Advocacy for Index # LT-073248-19/KI</t>
  </si>
  <si>
    <t>Opposition to Facial Recogntion. Wavier for APT Facial Recognition. No DHCI Required.</t>
  </si>
  <si>
    <t>Wavier for facial recognition. No DHCI required.</t>
  </si>
  <si>
    <t>Atlantic Plaza Towers facial recognition advocacy</t>
  </si>
  <si>
    <t>refused to give SS#</t>
  </si>
  <si>
    <t>Building-wide rent reduction application. Notes are in case 19-1911193. All compliance forms have been uploaded.</t>
  </si>
  <si>
    <t>Group HP case. Notes in 19-1911193. All compliance forms have been uploaded.</t>
  </si>
  <si>
    <t>releases in 19-1900448</t>
  </si>
  <si>
    <t>Compliance forms are in 19-1896739</t>
  </si>
  <si>
    <t>compliance forms located in parent file 19-1896739</t>
  </si>
  <si>
    <t>Neeeds New DHCI and Consent Form</t>
  </si>
  <si>
    <t>Compliance forms are in 19-1896778</t>
  </si>
  <si>
    <t>3018, Group rent overcharge case, Supreme court complaint</t>
  </si>
  <si>
    <t>3018, Individual rent reduction application with DHCR</t>
  </si>
  <si>
    <t>3018, Building- wide rent reduction application with DHCR</t>
  </si>
  <si>
    <t>City FHEPS Case #:10154731</t>
  </si>
  <si>
    <t>Releases are in the attestation folder</t>
  </si>
  <si>
    <t>Missing forms</t>
  </si>
  <si>
    <t>Missing DHCI &amp; HRA Forms</t>
  </si>
  <si>
    <t>Compliance forms are in LS 18-1878653.</t>
  </si>
  <si>
    <t>Provided full rep in same case, this case should be closed as ZZ</t>
  </si>
  <si>
    <t>Compliance Forms are located in file 18-1875239</t>
  </si>
  <si>
    <t>Zip code waiver required for client in a building wide initiative</t>
  </si>
  <si>
    <t>compliance papers are pending from GAL</t>
  </si>
  <si>
    <t>Compliance docs located in Master file #19-1895077</t>
  </si>
  <si>
    <t>see 19-1900440 for release and DHCI</t>
  </si>
  <si>
    <t>Does a housing issue via Single Stop get SS or TRC funding code?</t>
  </si>
  <si>
    <t>DHCI form below and rest of Compliance docs located in parent file 19-1896750</t>
  </si>
  <si>
    <t>SCRIE</t>
  </si>
  <si>
    <t>no pending case --&gt; TRC funding code</t>
  </si>
  <si>
    <t>Opposition to facial recognition. Wavier for APT facial recogniton. No DHCI required.</t>
  </si>
  <si>
    <t>zipcode waiver for NEBHDCO building wide initiative</t>
  </si>
  <si>
    <t>4/18 - need consent &amp; DHCI uploaded</t>
  </si>
  <si>
    <t>Compliance forms are in LS 19-1908611</t>
  </si>
  <si>
    <t>DHCI incomplete and unsigned by client</t>
  </si>
  <si>
    <t>Consent to Obtain Only  Uploaded</t>
  </si>
  <si>
    <t>Opposition to facial recogntiton. Wavier for APT Facial Recognition. No DHCI required.</t>
  </si>
  <si>
    <t>Letter to the landlord regarding conditions. Notes in case 19-1911193. Compliance forms have been uploaded.</t>
  </si>
  <si>
    <t>missing forms</t>
  </si>
  <si>
    <t>PA Advocacy for Index # LT-055726-19/KI</t>
  </si>
  <si>
    <t>advice</t>
  </si>
  <si>
    <t>Wavier for APT Facial Recognition. No DHCI or SSN required. Compliance Docs located in parent file #19-1890555</t>
  </si>
  <si>
    <t>3018, Supreme court complaint, group rent overcharge case.</t>
  </si>
  <si>
    <t>3018, Rent history analysis.</t>
  </si>
  <si>
    <t>need income waiver</t>
  </si>
  <si>
    <t>Will require income waiver</t>
  </si>
  <si>
    <t>Compliance Forms are located in file 18-1875383</t>
  </si>
  <si>
    <t>Compliance forms in LS 19-1903926</t>
  </si>
  <si>
    <t>50%+1 income waiver requested</t>
  </si>
  <si>
    <t>refuse to give full SS#</t>
  </si>
  <si>
    <t>Compliance Forms located in file 18-1877136</t>
  </si>
  <si>
    <t>Compliance docs in 18-1876259</t>
  </si>
  <si>
    <t>Over 200%</t>
  </si>
  <si>
    <t>Income waiver required as part of  building wide 1074 Eastern Pkwy initiative</t>
  </si>
  <si>
    <t>Compliance docs located in parent file #18-1875686</t>
  </si>
  <si>
    <t>Income waiver required for TRC</t>
  </si>
  <si>
    <t>need income waiver for TRC</t>
  </si>
  <si>
    <t>Compliance Forms are LS 19-1904941</t>
  </si>
  <si>
    <t>Income waiver required for client in a Duckler building wide initiative</t>
  </si>
  <si>
    <t>Did not want to disclose SSN (identity theft concerns)</t>
  </si>
  <si>
    <t>Need income waiver</t>
  </si>
  <si>
    <t>Income waiver needed?</t>
  </si>
  <si>
    <t>Client is part of building wide initiative at 1074 Eastern Pkwy - Income waiver has been requested</t>
  </si>
  <si>
    <t>Reasobable accom case; needs waiver</t>
  </si>
  <si>
    <t>Needs income waiver</t>
  </si>
  <si>
    <t>Compliance forms located in parent file 19-1887160 / needs income waiver</t>
  </si>
  <si>
    <t>HRA consent and DHCI forms are located in LS File - 19-1887832</t>
  </si>
  <si>
    <t>Income waiver needed for this master file of building wide initiative</t>
  </si>
  <si>
    <t>Income waiver required</t>
  </si>
  <si>
    <t>50+1% income waiver requested</t>
  </si>
  <si>
    <t>Compliance forms are in 19-1895344</t>
  </si>
  <si>
    <t>Need income waiver for non-pay client associated with a building wide initiative.</t>
  </si>
  <si>
    <t>50% +1 income waiver needed</t>
  </si>
  <si>
    <t>50% +1 income waiver requested</t>
  </si>
  <si>
    <t>Need income waiver for client in a building wide initiative</t>
  </si>
  <si>
    <t>need income waiver for participant in building wide initiative</t>
  </si>
  <si>
    <t>overincome but will be part of group loft law case once bill is passed</t>
  </si>
  <si>
    <t>Atlantic Towers Group initiative client - needs income waiver</t>
  </si>
  <si>
    <t>Compliance docs located in parent file 19-1896646 - Need income waiver</t>
  </si>
  <si>
    <t>Compliance forms are 19-1896646</t>
  </si>
  <si>
    <t>Need income waiver for client who is part of a building wide initiative</t>
  </si>
  <si>
    <t>Need income waiver for client who is part of a group initiative.</t>
  </si>
  <si>
    <t>Need income waiver for group action client</t>
  </si>
  <si>
    <t>Needs income waiver for building wide/group work</t>
  </si>
  <si>
    <t>Income waiver needed for participant in building wide initiative</t>
  </si>
  <si>
    <t>Counsel Assisted in Filing or Refiling of Answer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</si>
  <si>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</si>
  <si>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</si>
  <si>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Answer, Filed for an Emergency Order to Show Cause</t>
  </si>
  <si>
    <t>Counsel Assisted in Filing or Refiling of Answer, Filed/Argued/Supplemented Dispositive or other Substantive Motion</t>
  </si>
  <si>
    <t>Filed/Argued/Supplemented Dispositive or other Substantive Motion</t>
  </si>
  <si>
    <t>Conducted Evidentiary Hearing</t>
  </si>
  <si>
    <t>Counsel Assisted in Filing or Refiling of Answer, Filed/Argued/Supplemented Dispositive or other Substantive Motion, Filed for an Emergency Order to Show Cause</t>
  </si>
  <si>
    <t>Commenced Trial</t>
  </si>
  <si>
    <t>Case Discontinued/Dismissed/Landlord Fails to Prosecute</t>
  </si>
  <si>
    <t>Restored Access to Personal Property</t>
  </si>
  <si>
    <t>Case Resolved without Judgment of Eviction Against Client</t>
  </si>
  <si>
    <t>Case Resolved without Judgment of Eviction Against Client, Obtained Succession Rights to Residence, Obtain Ongoing Rent Subsidy</t>
  </si>
  <si>
    <t>Case Discontinued/Dismissed/Landlord Fails to Prosecute, Case Resolved without Judgment of Eviction Against Client</t>
  </si>
  <si>
    <t>Secured Rent Reduction</t>
  </si>
  <si>
    <t>Case Discontinued/Dismissed/Landlord Fails to Prosecute, Case Resolved without Judgment of Eviction Against Client, Obtained Renewal of Lease</t>
  </si>
  <si>
    <t>Secured 6 Months or Longer in Residence</t>
  </si>
  <si>
    <t>Secured Order or Agreement for Repairs in Apartment/Building</t>
  </si>
  <si>
    <t>Case Discontinued/Dismissed/Landlord Fails to Prosecute, Case Resolved without Judgment of Eviction Against Client, Secured Rent Abatement</t>
  </si>
  <si>
    <t>Case Discontinued/Dismissed/Landlord Fails to Prosecute, Case Resolved without Judgment of Eviction Against Client, Other</t>
  </si>
  <si>
    <t>Case Discontinued/Dismissed/Landlord Fails to Prosecute, Secured Order or Agreement for Repairs in Apartment/Building, Secured Rent Abatement</t>
  </si>
  <si>
    <t>Case Resolved without Judgment of Eviction Against Client, Secured Order or Agreement for Repairs in Apartment/Building, Secured Rent Abatement</t>
  </si>
  <si>
    <t>Case Discontinued/Dismissed/Landlord Fails to Prosecute, Secured Rent Abatement</t>
  </si>
  <si>
    <t>Obtained Renewal of Lease</t>
  </si>
  <si>
    <t>Obtain Ongoing Rent Subsidy</t>
  </si>
  <si>
    <t>Case Resolved without Judgment of Eviction Against Client, Secured 6 Months or Longer in Residence, Secured Rent Abatement</t>
  </si>
  <si>
    <t>Case Resolved without Judgment of Eviction Against Client, Secured Rent Abatement</t>
  </si>
  <si>
    <t>Case Resolved without Judgment of Eviction Against Client, Secured 6 Months or Longer in Residence</t>
  </si>
  <si>
    <t>Secured 6 Months or Longer in Residence, Secured Rent Abatement</t>
  </si>
  <si>
    <t>Obtained Negotiated Buyout</t>
  </si>
  <si>
    <t>Client Allowed to Remain in Residence</t>
  </si>
  <si>
    <t>Client Required to be Displaced from Residence</t>
  </si>
  <si>
    <t>Client Discharged Attorney</t>
  </si>
  <si>
    <t>2019-12-11</t>
  </si>
  <si>
    <t>2019-11-01</t>
  </si>
  <si>
    <t>2019-10-31</t>
  </si>
  <si>
    <t>2019-08-29</t>
  </si>
  <si>
    <t>2019-10-21</t>
  </si>
  <si>
    <t>2019-09-04</t>
  </si>
  <si>
    <t>2019-12-02</t>
  </si>
  <si>
    <t>2019-10-29</t>
  </si>
  <si>
    <t>2019-07-23</t>
  </si>
  <si>
    <t>2019-11-06</t>
  </si>
  <si>
    <t>2019-08-16</t>
  </si>
  <si>
    <t>2019-10-28</t>
  </si>
  <si>
    <t>2019-12-17</t>
  </si>
  <si>
    <t>2019-08-08</t>
  </si>
  <si>
    <t>2019-09-18</t>
  </si>
  <si>
    <t>2019-07-19</t>
  </si>
  <si>
    <t>2019-11-18</t>
  </si>
  <si>
    <t>2019-10-14</t>
  </si>
  <si>
    <t>2019-10-11</t>
  </si>
  <si>
    <t>2019-10-18</t>
  </si>
  <si>
    <t>2019-08-28</t>
  </si>
  <si>
    <t>2019-09-25</t>
  </si>
  <si>
    <t>2019-11-26</t>
  </si>
  <si>
    <t>2019-09-30</t>
  </si>
  <si>
    <t>2019-08-06</t>
  </si>
  <si>
    <t>2019-06-03</t>
  </si>
  <si>
    <t>2019-10-07</t>
  </si>
  <si>
    <t>2019-08-17</t>
  </si>
  <si>
    <t>2019-05-01</t>
  </si>
  <si>
    <t>2019-08-27</t>
  </si>
  <si>
    <t>2019-12-10</t>
  </si>
  <si>
    <t>2019-08-20</t>
  </si>
  <si>
    <t>2019-07-09</t>
  </si>
  <si>
    <t>2019-11-27</t>
  </si>
  <si>
    <t>2019-10-30</t>
  </si>
  <si>
    <t>2019-08-13</t>
  </si>
  <si>
    <t>2019-07-25</t>
  </si>
  <si>
    <t>2019-06-30</t>
  </si>
  <si>
    <t>2019-09-27</t>
  </si>
  <si>
    <t>2019-08-21</t>
  </si>
  <si>
    <t>2019-11-21</t>
  </si>
  <si>
    <t>2019-10-03</t>
  </si>
  <si>
    <t>2019-09-23</t>
  </si>
  <si>
    <t>2019-10-09</t>
  </si>
  <si>
    <t>2019-12-04</t>
  </si>
  <si>
    <t>2019-11-19</t>
  </si>
  <si>
    <t>2019-12-05</t>
  </si>
  <si>
    <t>2019-10-02</t>
  </si>
  <si>
    <t>2019-10-10</t>
  </si>
  <si>
    <t>2019-10-22</t>
  </si>
  <si>
    <t>2019-07-16</t>
  </si>
  <si>
    <t>2019-12-12</t>
  </si>
  <si>
    <t>2019-08-22</t>
  </si>
  <si>
    <t>2019-11-04</t>
  </si>
  <si>
    <t>2019-07-31</t>
  </si>
  <si>
    <t>2019-09-03</t>
  </si>
  <si>
    <t>2019-09-26</t>
  </si>
  <si>
    <t>2019-11-13</t>
  </si>
  <si>
    <t>2019-12-09</t>
  </si>
  <si>
    <t>2019-07-18</t>
  </si>
  <si>
    <t>2019-12-16</t>
  </si>
  <si>
    <t>2019-09-11</t>
  </si>
  <si>
    <t>2019-05-16</t>
  </si>
  <si>
    <t>2019-10-04</t>
  </si>
  <si>
    <t>2019-10-24</t>
  </si>
  <si>
    <t>2019-07-17</t>
  </si>
  <si>
    <t>2019-07-12</t>
  </si>
  <si>
    <t>2019-07-03</t>
  </si>
  <si>
    <t>2019-12-13</t>
  </si>
  <si>
    <t>2019-12-03</t>
  </si>
  <si>
    <t>2019-09-01</t>
  </si>
  <si>
    <t>2019-08-26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</si>
</sst>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526"/>
  <sheetViews>
    <sheetView tabSelected="1" workbookViewId="0"/>
  </sheetViews>
  <sheetFormatPr defaultRowHeight="15"/>
  <cols>
    <col min="1" max="1" width="20.7109375" style="1" customWidth="1"/>
  </cols>
  <sheetData>
    <row r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>
      <c r="A2" s="1">
        <f>HYPERLINK("https://lsnyc.legalserver.org/matter/dynamic-profile/view/1910667","19-1910667")</f>
        <v>0</v>
      </c>
      <c r="B2" t="s">
        <v>44</v>
      </c>
      <c r="C2" t="s">
        <v>177</v>
      </c>
      <c r="D2" t="s">
        <v>194</v>
      </c>
      <c r="E2" t="s">
        <v>386</v>
      </c>
      <c r="F2" t="s">
        <v>1262</v>
      </c>
      <c r="G2" t="s">
        <v>2164</v>
      </c>
      <c r="H2">
        <v>2</v>
      </c>
      <c r="I2" t="s">
        <v>3478</v>
      </c>
      <c r="J2">
        <v>11692</v>
      </c>
      <c r="K2" t="s">
        <v>3522</v>
      </c>
      <c r="L2" t="s">
        <v>3525</v>
      </c>
      <c r="M2" t="s">
        <v>3528</v>
      </c>
      <c r="N2" t="s">
        <v>4107</v>
      </c>
      <c r="O2" t="s">
        <v>4132</v>
      </c>
      <c r="P2" t="s">
        <v>4139</v>
      </c>
      <c r="Q2" t="s">
        <v>4147</v>
      </c>
      <c r="R2" t="s">
        <v>3523</v>
      </c>
      <c r="T2" t="s">
        <v>4156</v>
      </c>
      <c r="U2" t="s">
        <v>4167</v>
      </c>
      <c r="V2" t="s">
        <v>177</v>
      </c>
      <c r="W2">
        <v>250</v>
      </c>
      <c r="X2" t="s">
        <v>4192</v>
      </c>
      <c r="Y2" t="s">
        <v>4197</v>
      </c>
      <c r="Z2" t="s">
        <v>4216</v>
      </c>
      <c r="AA2" t="s">
        <v>5481</v>
      </c>
      <c r="AB2" t="s">
        <v>5647</v>
      </c>
      <c r="AC2">
        <v>2</v>
      </c>
      <c r="AD2" t="s">
        <v>6771</v>
      </c>
      <c r="AE2" t="s">
        <v>6786</v>
      </c>
      <c r="AF2">
        <v>5</v>
      </c>
      <c r="AG2">
        <v>1</v>
      </c>
      <c r="AH2">
        <v>0</v>
      </c>
      <c r="AI2">
        <v>0</v>
      </c>
      <c r="AL2" t="s">
        <v>6801</v>
      </c>
      <c r="AM2">
        <v>0</v>
      </c>
    </row>
    <row r="3" spans="1:44">
      <c r="A3" s="1">
        <f>HYPERLINK("https://lsnyc.legalserver.org/matter/dynamic-profile/view/1912645","19-1912645")</f>
        <v>0</v>
      </c>
      <c r="B3" t="s">
        <v>45</v>
      </c>
      <c r="C3" t="s">
        <v>178</v>
      </c>
      <c r="E3" t="s">
        <v>387</v>
      </c>
      <c r="F3" t="s">
        <v>1263</v>
      </c>
      <c r="G3" t="s">
        <v>2165</v>
      </c>
      <c r="H3" t="s">
        <v>3125</v>
      </c>
      <c r="I3" t="s">
        <v>3479</v>
      </c>
      <c r="J3">
        <v>11691</v>
      </c>
      <c r="K3" t="s">
        <v>3522</v>
      </c>
      <c r="L3" t="s">
        <v>3525</v>
      </c>
      <c r="N3" t="s">
        <v>4108</v>
      </c>
      <c r="O3" t="s">
        <v>4133</v>
      </c>
      <c r="Q3" t="s">
        <v>4147</v>
      </c>
      <c r="R3" t="s">
        <v>3522</v>
      </c>
      <c r="T3" t="s">
        <v>4156</v>
      </c>
      <c r="V3" t="s">
        <v>178</v>
      </c>
      <c r="W3">
        <v>660</v>
      </c>
      <c r="X3" t="s">
        <v>4192</v>
      </c>
      <c r="Y3" t="s">
        <v>4198</v>
      </c>
      <c r="Z3" t="s">
        <v>4217</v>
      </c>
      <c r="AB3" t="s">
        <v>5648</v>
      </c>
      <c r="AC3">
        <v>43</v>
      </c>
      <c r="AD3" t="s">
        <v>6772</v>
      </c>
      <c r="AE3" t="s">
        <v>3526</v>
      </c>
      <c r="AF3">
        <v>8</v>
      </c>
      <c r="AG3">
        <v>1</v>
      </c>
      <c r="AH3">
        <v>0</v>
      </c>
      <c r="AI3">
        <v>0</v>
      </c>
      <c r="AL3" t="s">
        <v>6801</v>
      </c>
      <c r="AM3">
        <v>0</v>
      </c>
    </row>
    <row r="4" spans="1:44">
      <c r="A4" s="1">
        <f>HYPERLINK("https://lsnyc.legalserver.org/matter/dynamic-profile/view/1904337","19-1904337")</f>
        <v>0</v>
      </c>
      <c r="B4" t="s">
        <v>44</v>
      </c>
      <c r="C4" t="s">
        <v>179</v>
      </c>
      <c r="D4" t="s">
        <v>293</v>
      </c>
      <c r="E4" t="s">
        <v>388</v>
      </c>
      <c r="F4" t="s">
        <v>1264</v>
      </c>
      <c r="G4" t="s">
        <v>2166</v>
      </c>
      <c r="I4" t="s">
        <v>3479</v>
      </c>
      <c r="J4">
        <v>11691</v>
      </c>
      <c r="K4" t="s">
        <v>3522</v>
      </c>
      <c r="L4" t="s">
        <v>3525</v>
      </c>
      <c r="M4" t="s">
        <v>3529</v>
      </c>
      <c r="N4" t="s">
        <v>3554</v>
      </c>
      <c r="O4" t="s">
        <v>4132</v>
      </c>
      <c r="P4" t="s">
        <v>4139</v>
      </c>
      <c r="Q4" t="s">
        <v>4148</v>
      </c>
      <c r="R4" t="s">
        <v>3523</v>
      </c>
      <c r="T4" t="s">
        <v>4156</v>
      </c>
      <c r="U4" t="s">
        <v>4168</v>
      </c>
      <c r="V4" t="s">
        <v>293</v>
      </c>
      <c r="W4">
        <v>600</v>
      </c>
      <c r="X4" t="s">
        <v>4192</v>
      </c>
      <c r="Y4" t="s">
        <v>4199</v>
      </c>
      <c r="Z4" t="s">
        <v>4218</v>
      </c>
      <c r="AA4" t="s">
        <v>3526</v>
      </c>
      <c r="AB4" t="s">
        <v>5482</v>
      </c>
      <c r="AC4">
        <v>2</v>
      </c>
      <c r="AD4" t="s">
        <v>6771</v>
      </c>
      <c r="AE4" t="s">
        <v>3526</v>
      </c>
      <c r="AF4">
        <v>5</v>
      </c>
      <c r="AG4">
        <v>1</v>
      </c>
      <c r="AH4">
        <v>2</v>
      </c>
      <c r="AI4">
        <v>0</v>
      </c>
      <c r="AJ4" t="s">
        <v>6795</v>
      </c>
      <c r="AK4" t="s">
        <v>6798</v>
      </c>
      <c r="AL4" t="s">
        <v>6801</v>
      </c>
      <c r="AM4">
        <v>0</v>
      </c>
    </row>
    <row r="5" spans="1:44">
      <c r="A5" s="1">
        <f>HYPERLINK("https://lsnyc.legalserver.org/matter/dynamic-profile/view/1902338","19-1902338")</f>
        <v>0</v>
      </c>
      <c r="B5" t="s">
        <v>45</v>
      </c>
      <c r="C5" t="s">
        <v>180</v>
      </c>
      <c r="E5" t="s">
        <v>389</v>
      </c>
      <c r="F5" t="s">
        <v>1265</v>
      </c>
      <c r="G5" t="s">
        <v>2167</v>
      </c>
      <c r="I5" t="s">
        <v>3479</v>
      </c>
      <c r="J5">
        <v>11691</v>
      </c>
      <c r="K5" t="s">
        <v>3522</v>
      </c>
      <c r="L5" t="s">
        <v>3525</v>
      </c>
      <c r="M5" t="s">
        <v>3530</v>
      </c>
      <c r="N5" t="s">
        <v>4109</v>
      </c>
      <c r="O5" t="s">
        <v>4134</v>
      </c>
      <c r="Q5" t="s">
        <v>4147</v>
      </c>
      <c r="R5" t="s">
        <v>3523</v>
      </c>
      <c r="T5" t="s">
        <v>4156</v>
      </c>
      <c r="U5" t="s">
        <v>4168</v>
      </c>
      <c r="V5" t="s">
        <v>293</v>
      </c>
      <c r="W5">
        <v>1075</v>
      </c>
      <c r="X5" t="s">
        <v>4192</v>
      </c>
      <c r="Y5" t="s">
        <v>4200</v>
      </c>
      <c r="Z5" t="s">
        <v>4219</v>
      </c>
      <c r="AB5" t="s">
        <v>5649</v>
      </c>
      <c r="AC5">
        <v>602</v>
      </c>
      <c r="AD5" t="s">
        <v>5524</v>
      </c>
      <c r="AE5" t="s">
        <v>4200</v>
      </c>
      <c r="AF5">
        <v>3</v>
      </c>
      <c r="AG5">
        <v>1</v>
      </c>
      <c r="AH5">
        <v>0</v>
      </c>
      <c r="AI5">
        <v>0</v>
      </c>
      <c r="AL5" t="s">
        <v>6802</v>
      </c>
      <c r="AM5">
        <v>0</v>
      </c>
      <c r="AP5" t="s">
        <v>6924</v>
      </c>
    </row>
    <row r="6" spans="1:44">
      <c r="A6" s="1">
        <f>HYPERLINK("https://lsnyc.legalserver.org/matter/dynamic-profile/view/1912643","19-1912643")</f>
        <v>0</v>
      </c>
      <c r="B6" t="s">
        <v>45</v>
      </c>
      <c r="C6" t="s">
        <v>178</v>
      </c>
      <c r="E6" t="s">
        <v>387</v>
      </c>
      <c r="F6" t="s">
        <v>1263</v>
      </c>
      <c r="G6" t="s">
        <v>2165</v>
      </c>
      <c r="H6" t="s">
        <v>3125</v>
      </c>
      <c r="I6" t="s">
        <v>3479</v>
      </c>
      <c r="J6">
        <v>11691</v>
      </c>
      <c r="K6" t="s">
        <v>3522</v>
      </c>
      <c r="L6" t="s">
        <v>3525</v>
      </c>
      <c r="N6" t="s">
        <v>4109</v>
      </c>
      <c r="O6" t="s">
        <v>4133</v>
      </c>
      <c r="Q6" t="s">
        <v>4147</v>
      </c>
      <c r="R6" t="s">
        <v>3522</v>
      </c>
      <c r="T6" t="s">
        <v>4156</v>
      </c>
      <c r="V6" t="s">
        <v>178</v>
      </c>
      <c r="W6">
        <v>660</v>
      </c>
      <c r="X6" t="s">
        <v>4192</v>
      </c>
      <c r="Y6" t="s">
        <v>4198</v>
      </c>
      <c r="Z6" t="s">
        <v>4217</v>
      </c>
      <c r="AB6" t="s">
        <v>5648</v>
      </c>
      <c r="AC6">
        <v>43</v>
      </c>
      <c r="AD6" t="s">
        <v>6772</v>
      </c>
      <c r="AE6" t="s">
        <v>3526</v>
      </c>
      <c r="AF6">
        <v>8</v>
      </c>
      <c r="AG6">
        <v>1</v>
      </c>
      <c r="AH6">
        <v>0</v>
      </c>
      <c r="AI6">
        <v>0</v>
      </c>
      <c r="AL6" t="s">
        <v>6801</v>
      </c>
      <c r="AM6">
        <v>0</v>
      </c>
    </row>
    <row r="7" spans="1:44">
      <c r="A7" s="1">
        <f>HYPERLINK("https://lsnyc.legalserver.org/matter/dynamic-profile/view/1917264","19-1917264")</f>
        <v>0</v>
      </c>
      <c r="B7" t="s">
        <v>46</v>
      </c>
      <c r="C7" t="s">
        <v>181</v>
      </c>
      <c r="E7" t="s">
        <v>390</v>
      </c>
      <c r="F7" t="s">
        <v>1266</v>
      </c>
      <c r="G7" t="s">
        <v>2167</v>
      </c>
      <c r="H7" t="s">
        <v>3126</v>
      </c>
      <c r="I7" t="s">
        <v>3479</v>
      </c>
      <c r="J7">
        <v>11691</v>
      </c>
      <c r="K7" t="s">
        <v>3522</v>
      </c>
      <c r="M7" t="s">
        <v>3531</v>
      </c>
      <c r="N7" t="s">
        <v>4109</v>
      </c>
      <c r="O7" t="s">
        <v>4135</v>
      </c>
      <c r="Q7" t="s">
        <v>4148</v>
      </c>
      <c r="R7" t="s">
        <v>3523</v>
      </c>
      <c r="T7" t="s">
        <v>4157</v>
      </c>
      <c r="U7" t="s">
        <v>4169</v>
      </c>
      <c r="V7" t="s">
        <v>243</v>
      </c>
      <c r="W7">
        <v>974</v>
      </c>
      <c r="X7" t="s">
        <v>4192</v>
      </c>
      <c r="Y7" t="s">
        <v>4199</v>
      </c>
      <c r="Z7" t="s">
        <v>4220</v>
      </c>
      <c r="AB7" t="s">
        <v>5650</v>
      </c>
      <c r="AC7">
        <v>606</v>
      </c>
      <c r="AD7" t="s">
        <v>6773</v>
      </c>
      <c r="AF7">
        <v>7</v>
      </c>
      <c r="AG7">
        <v>1</v>
      </c>
      <c r="AH7">
        <v>1</v>
      </c>
      <c r="AI7">
        <v>0</v>
      </c>
      <c r="AL7" t="s">
        <v>6801</v>
      </c>
      <c r="AM7">
        <v>0</v>
      </c>
    </row>
    <row r="8" spans="1:44">
      <c r="A8" s="1">
        <f>HYPERLINK("https://lsnyc.legalserver.org/matter/dynamic-profile/view/1915193","19-1915193")</f>
        <v>0</v>
      </c>
      <c r="B8" t="s">
        <v>47</v>
      </c>
      <c r="C8" t="s">
        <v>182</v>
      </c>
      <c r="E8" t="s">
        <v>391</v>
      </c>
      <c r="F8" t="s">
        <v>1267</v>
      </c>
      <c r="G8" t="s">
        <v>2168</v>
      </c>
      <c r="I8" t="s">
        <v>3480</v>
      </c>
      <c r="J8">
        <v>11436</v>
      </c>
      <c r="K8" t="s">
        <v>3522</v>
      </c>
      <c r="M8" t="s">
        <v>3532</v>
      </c>
      <c r="N8" t="s">
        <v>4107</v>
      </c>
      <c r="O8" t="s">
        <v>4132</v>
      </c>
      <c r="Q8" t="s">
        <v>4147</v>
      </c>
      <c r="R8" t="s">
        <v>3523</v>
      </c>
      <c r="T8" t="s">
        <v>4156</v>
      </c>
      <c r="U8" t="s">
        <v>4168</v>
      </c>
      <c r="V8" t="s">
        <v>381</v>
      </c>
      <c r="W8">
        <v>2000</v>
      </c>
      <c r="X8" t="s">
        <v>4192</v>
      </c>
      <c r="Y8" t="s">
        <v>4197</v>
      </c>
      <c r="Z8" t="s">
        <v>4221</v>
      </c>
      <c r="AA8" t="s">
        <v>5482</v>
      </c>
      <c r="AB8" t="s">
        <v>5651</v>
      </c>
      <c r="AC8">
        <v>1</v>
      </c>
      <c r="AD8" t="s">
        <v>6771</v>
      </c>
      <c r="AE8" t="s">
        <v>3526</v>
      </c>
      <c r="AF8">
        <v>1</v>
      </c>
      <c r="AG8">
        <v>2</v>
      </c>
      <c r="AH8">
        <v>1</v>
      </c>
      <c r="AI8">
        <v>0</v>
      </c>
      <c r="AL8" t="s">
        <v>6801</v>
      </c>
      <c r="AM8">
        <v>0</v>
      </c>
    </row>
    <row r="9" spans="1:44">
      <c r="A9" s="1">
        <f>HYPERLINK("https://lsnyc.legalserver.org/matter/dynamic-profile/view/1904043","19-1904043")</f>
        <v>0</v>
      </c>
      <c r="B9" t="s">
        <v>48</v>
      </c>
      <c r="C9" t="s">
        <v>183</v>
      </c>
      <c r="E9" t="s">
        <v>392</v>
      </c>
      <c r="F9" t="s">
        <v>1268</v>
      </c>
      <c r="G9" t="s">
        <v>2169</v>
      </c>
      <c r="H9" t="s">
        <v>3127</v>
      </c>
      <c r="I9" t="s">
        <v>3480</v>
      </c>
      <c r="J9">
        <v>11435</v>
      </c>
      <c r="K9" t="s">
        <v>3522</v>
      </c>
      <c r="L9" t="s">
        <v>3525</v>
      </c>
      <c r="M9" t="s">
        <v>3533</v>
      </c>
      <c r="N9" t="s">
        <v>4107</v>
      </c>
      <c r="O9" t="s">
        <v>4132</v>
      </c>
      <c r="Q9" t="s">
        <v>4147</v>
      </c>
      <c r="R9" t="s">
        <v>3523</v>
      </c>
      <c r="T9" t="s">
        <v>4156</v>
      </c>
      <c r="U9" t="s">
        <v>4168</v>
      </c>
      <c r="V9" t="s">
        <v>183</v>
      </c>
      <c r="W9">
        <v>2200</v>
      </c>
      <c r="X9" t="s">
        <v>4192</v>
      </c>
      <c r="Y9" t="s">
        <v>4197</v>
      </c>
      <c r="Z9" t="s">
        <v>4222</v>
      </c>
      <c r="AB9" t="s">
        <v>5652</v>
      </c>
      <c r="AC9">
        <v>2</v>
      </c>
      <c r="AD9" t="s">
        <v>5524</v>
      </c>
      <c r="AE9" t="s">
        <v>3526</v>
      </c>
      <c r="AF9">
        <v>1</v>
      </c>
      <c r="AG9">
        <v>2</v>
      </c>
      <c r="AH9">
        <v>0</v>
      </c>
      <c r="AI9">
        <v>0</v>
      </c>
      <c r="AL9" t="s">
        <v>6801</v>
      </c>
      <c r="AM9">
        <v>0</v>
      </c>
    </row>
    <row r="10" spans="1:44">
      <c r="A10" s="1">
        <f>HYPERLINK("https://lsnyc.legalserver.org/matter/dynamic-profile/view/1909542","19-1909542")</f>
        <v>0</v>
      </c>
      <c r="B10" t="s">
        <v>45</v>
      </c>
      <c r="C10" t="s">
        <v>184</v>
      </c>
      <c r="E10" t="s">
        <v>393</v>
      </c>
      <c r="F10" t="s">
        <v>582</v>
      </c>
      <c r="G10" t="s">
        <v>2170</v>
      </c>
      <c r="H10">
        <v>2</v>
      </c>
      <c r="I10" t="s">
        <v>3480</v>
      </c>
      <c r="J10">
        <v>11435</v>
      </c>
      <c r="K10" t="s">
        <v>3522</v>
      </c>
      <c r="L10" t="s">
        <v>3525</v>
      </c>
      <c r="M10" t="s">
        <v>3534</v>
      </c>
      <c r="N10" t="s">
        <v>4108</v>
      </c>
      <c r="O10" t="s">
        <v>4134</v>
      </c>
      <c r="Q10" t="s">
        <v>4147</v>
      </c>
      <c r="R10" t="s">
        <v>3523</v>
      </c>
      <c r="T10" t="s">
        <v>4156</v>
      </c>
      <c r="U10" t="s">
        <v>4170</v>
      </c>
      <c r="V10" t="s">
        <v>184</v>
      </c>
      <c r="W10">
        <v>1650</v>
      </c>
      <c r="X10" t="s">
        <v>4192</v>
      </c>
      <c r="Y10" t="s">
        <v>4197</v>
      </c>
      <c r="Z10" t="s">
        <v>4223</v>
      </c>
      <c r="AB10" t="s">
        <v>5653</v>
      </c>
      <c r="AC10">
        <v>2</v>
      </c>
      <c r="AD10" t="s">
        <v>6771</v>
      </c>
      <c r="AE10" t="s">
        <v>3526</v>
      </c>
      <c r="AF10">
        <v>2</v>
      </c>
      <c r="AG10">
        <v>1</v>
      </c>
      <c r="AH10">
        <v>3</v>
      </c>
      <c r="AI10">
        <v>0</v>
      </c>
      <c r="AL10" t="s">
        <v>6801</v>
      </c>
      <c r="AM10">
        <v>0</v>
      </c>
      <c r="AP10" t="s">
        <v>4200</v>
      </c>
    </row>
    <row r="11" spans="1:44">
      <c r="A11" s="1">
        <f>HYPERLINK("https://lsnyc.legalserver.org/matter/dynamic-profile/view/1907457","19-1907457")</f>
        <v>0</v>
      </c>
      <c r="B11" t="s">
        <v>45</v>
      </c>
      <c r="C11" t="s">
        <v>185</v>
      </c>
      <c r="E11" t="s">
        <v>393</v>
      </c>
      <c r="F11" t="s">
        <v>582</v>
      </c>
      <c r="G11" t="s">
        <v>2171</v>
      </c>
      <c r="I11" t="s">
        <v>3480</v>
      </c>
      <c r="J11">
        <v>11435</v>
      </c>
      <c r="K11" t="s">
        <v>3522</v>
      </c>
      <c r="L11" t="s">
        <v>3525</v>
      </c>
      <c r="M11" t="s">
        <v>3535</v>
      </c>
      <c r="N11" t="s">
        <v>4109</v>
      </c>
      <c r="O11" t="s">
        <v>4134</v>
      </c>
      <c r="Q11" t="s">
        <v>4147</v>
      </c>
      <c r="R11" t="s">
        <v>3523</v>
      </c>
      <c r="T11" t="s">
        <v>4156</v>
      </c>
      <c r="U11" t="s">
        <v>4168</v>
      </c>
      <c r="V11" t="s">
        <v>185</v>
      </c>
      <c r="W11">
        <v>1650</v>
      </c>
      <c r="X11" t="s">
        <v>4192</v>
      </c>
      <c r="Y11" t="s">
        <v>4197</v>
      </c>
      <c r="Z11" t="s">
        <v>4223</v>
      </c>
      <c r="AB11" t="s">
        <v>5653</v>
      </c>
      <c r="AC11">
        <v>2</v>
      </c>
      <c r="AD11" t="s">
        <v>6771</v>
      </c>
      <c r="AE11" t="s">
        <v>3526</v>
      </c>
      <c r="AF11">
        <v>2</v>
      </c>
      <c r="AG11">
        <v>1</v>
      </c>
      <c r="AH11">
        <v>3</v>
      </c>
      <c r="AI11">
        <v>0</v>
      </c>
      <c r="AL11" t="s">
        <v>6801</v>
      </c>
      <c r="AM11">
        <v>0</v>
      </c>
      <c r="AP11" t="s">
        <v>4200</v>
      </c>
    </row>
    <row r="12" spans="1:44">
      <c r="A12" s="1">
        <f>HYPERLINK("https://lsnyc.legalserver.org/matter/dynamic-profile/view/1913156","19-1913156")</f>
        <v>0</v>
      </c>
      <c r="B12" t="s">
        <v>46</v>
      </c>
      <c r="C12" t="s">
        <v>186</v>
      </c>
      <c r="E12" t="s">
        <v>386</v>
      </c>
      <c r="F12" t="s">
        <v>1269</v>
      </c>
      <c r="G12" t="s">
        <v>2172</v>
      </c>
      <c r="I12" t="s">
        <v>3480</v>
      </c>
      <c r="J12">
        <v>11434</v>
      </c>
      <c r="K12" t="s">
        <v>3522</v>
      </c>
      <c r="L12" t="s">
        <v>3526</v>
      </c>
      <c r="M12" t="s">
        <v>3528</v>
      </c>
      <c r="N12" t="s">
        <v>4107</v>
      </c>
      <c r="O12" t="s">
        <v>4132</v>
      </c>
      <c r="Q12" t="s">
        <v>4148</v>
      </c>
      <c r="R12" t="s">
        <v>3523</v>
      </c>
      <c r="T12" t="s">
        <v>4156</v>
      </c>
      <c r="U12" t="s">
        <v>4171</v>
      </c>
      <c r="V12" t="s">
        <v>186</v>
      </c>
      <c r="W12">
        <v>0</v>
      </c>
      <c r="X12" t="s">
        <v>4192</v>
      </c>
      <c r="Y12" t="s">
        <v>4199</v>
      </c>
      <c r="Z12" t="s">
        <v>4216</v>
      </c>
      <c r="AB12" t="s">
        <v>5647</v>
      </c>
      <c r="AC12">
        <v>2</v>
      </c>
      <c r="AE12" t="s">
        <v>6786</v>
      </c>
      <c r="AF12">
        <v>0</v>
      </c>
      <c r="AG12">
        <v>1</v>
      </c>
      <c r="AH12">
        <v>0</v>
      </c>
      <c r="AI12">
        <v>0</v>
      </c>
      <c r="AJ12" t="s">
        <v>6795</v>
      </c>
      <c r="AK12" t="s">
        <v>6798</v>
      </c>
      <c r="AL12" t="s">
        <v>6801</v>
      </c>
      <c r="AM12">
        <v>0</v>
      </c>
    </row>
    <row r="13" spans="1:44">
      <c r="A13" s="1">
        <f>HYPERLINK("https://lsnyc.legalserver.org/matter/dynamic-profile/view/1895163","19-1895163")</f>
        <v>0</v>
      </c>
      <c r="B13" t="s">
        <v>45</v>
      </c>
      <c r="C13" t="s">
        <v>187</v>
      </c>
      <c r="E13" t="s">
        <v>394</v>
      </c>
      <c r="F13" t="s">
        <v>1270</v>
      </c>
      <c r="G13" t="s">
        <v>2173</v>
      </c>
      <c r="H13">
        <v>41</v>
      </c>
      <c r="I13" t="s">
        <v>3480</v>
      </c>
      <c r="J13">
        <v>11432</v>
      </c>
      <c r="K13" t="s">
        <v>3522</v>
      </c>
      <c r="M13" t="s">
        <v>3536</v>
      </c>
      <c r="N13" t="s">
        <v>4109</v>
      </c>
      <c r="O13" t="s">
        <v>4134</v>
      </c>
      <c r="Q13" t="s">
        <v>4147</v>
      </c>
      <c r="R13" t="s">
        <v>3523</v>
      </c>
      <c r="T13" t="s">
        <v>4156</v>
      </c>
      <c r="U13" t="s">
        <v>4168</v>
      </c>
      <c r="V13" t="s">
        <v>381</v>
      </c>
      <c r="W13">
        <v>1421.57</v>
      </c>
      <c r="X13" t="s">
        <v>4192</v>
      </c>
      <c r="Y13" t="s">
        <v>4201</v>
      </c>
      <c r="Z13" t="s">
        <v>4224</v>
      </c>
      <c r="AA13" t="s">
        <v>5482</v>
      </c>
      <c r="AB13" t="s">
        <v>5654</v>
      </c>
      <c r="AC13">
        <v>36</v>
      </c>
      <c r="AD13" t="s">
        <v>6772</v>
      </c>
      <c r="AE13" t="s">
        <v>3526</v>
      </c>
      <c r="AF13">
        <v>26</v>
      </c>
      <c r="AG13">
        <v>2</v>
      </c>
      <c r="AH13">
        <v>0</v>
      </c>
      <c r="AI13">
        <v>0</v>
      </c>
      <c r="AL13" t="s">
        <v>6801</v>
      </c>
      <c r="AM13">
        <v>0</v>
      </c>
    </row>
    <row r="14" spans="1:44">
      <c r="A14" s="1">
        <f>HYPERLINK("https://lsnyc.legalserver.org/matter/dynamic-profile/view/1906436","19-1906436")</f>
        <v>0</v>
      </c>
      <c r="B14" t="s">
        <v>46</v>
      </c>
      <c r="C14" t="s">
        <v>188</v>
      </c>
      <c r="E14" t="s">
        <v>395</v>
      </c>
      <c r="F14" t="s">
        <v>1271</v>
      </c>
      <c r="G14" t="s">
        <v>2174</v>
      </c>
      <c r="I14" t="s">
        <v>3481</v>
      </c>
      <c r="J14">
        <v>11420</v>
      </c>
      <c r="K14" t="s">
        <v>3522</v>
      </c>
      <c r="L14" t="s">
        <v>3525</v>
      </c>
      <c r="M14" t="s">
        <v>3537</v>
      </c>
      <c r="N14" t="s">
        <v>4107</v>
      </c>
      <c r="O14" t="s">
        <v>4134</v>
      </c>
      <c r="Q14" t="s">
        <v>4148</v>
      </c>
      <c r="R14" t="s">
        <v>3523</v>
      </c>
      <c r="T14" t="s">
        <v>4156</v>
      </c>
      <c r="U14" t="s">
        <v>4168</v>
      </c>
      <c r="V14" t="s">
        <v>188</v>
      </c>
      <c r="W14">
        <v>0.01</v>
      </c>
      <c r="X14" t="s">
        <v>4192</v>
      </c>
      <c r="Y14" t="s">
        <v>4199</v>
      </c>
      <c r="Z14" t="s">
        <v>4225</v>
      </c>
      <c r="AB14" t="s">
        <v>5655</v>
      </c>
      <c r="AC14">
        <v>3</v>
      </c>
      <c r="AD14" t="s">
        <v>6771</v>
      </c>
      <c r="AE14" t="s">
        <v>3526</v>
      </c>
      <c r="AF14">
        <v>9</v>
      </c>
      <c r="AG14">
        <v>1</v>
      </c>
      <c r="AH14">
        <v>2</v>
      </c>
      <c r="AI14">
        <v>0</v>
      </c>
      <c r="AJ14" t="s">
        <v>6795</v>
      </c>
      <c r="AK14" t="s">
        <v>6798</v>
      </c>
      <c r="AL14" t="s">
        <v>6802</v>
      </c>
      <c r="AM14">
        <v>0</v>
      </c>
      <c r="AP14" t="s">
        <v>4200</v>
      </c>
    </row>
    <row r="15" spans="1:44">
      <c r="A15" s="1">
        <f>HYPERLINK("https://lsnyc.legalserver.org/matter/dynamic-profile/view/1916921","19-1916921")</f>
        <v>0</v>
      </c>
      <c r="B15" t="s">
        <v>46</v>
      </c>
      <c r="C15" t="s">
        <v>189</v>
      </c>
      <c r="E15" t="s">
        <v>396</v>
      </c>
      <c r="F15" t="s">
        <v>1272</v>
      </c>
      <c r="G15" t="s">
        <v>2175</v>
      </c>
      <c r="I15" t="s">
        <v>3482</v>
      </c>
      <c r="J15">
        <v>11419</v>
      </c>
      <c r="K15" t="s">
        <v>3522</v>
      </c>
      <c r="L15" t="s">
        <v>3525</v>
      </c>
      <c r="N15" t="s">
        <v>3554</v>
      </c>
      <c r="O15" t="s">
        <v>4136</v>
      </c>
      <c r="Q15" t="s">
        <v>4148</v>
      </c>
      <c r="R15" t="s">
        <v>3523</v>
      </c>
      <c r="T15" t="s">
        <v>4156</v>
      </c>
      <c r="V15" t="s">
        <v>189</v>
      </c>
      <c r="W15">
        <v>1550</v>
      </c>
      <c r="X15" t="s">
        <v>4192</v>
      </c>
      <c r="Y15" t="s">
        <v>4199</v>
      </c>
      <c r="Z15" t="s">
        <v>4226</v>
      </c>
      <c r="AC15">
        <v>3</v>
      </c>
      <c r="AD15" t="s">
        <v>6772</v>
      </c>
      <c r="AF15">
        <v>4</v>
      </c>
      <c r="AG15">
        <v>1</v>
      </c>
      <c r="AH15">
        <v>1</v>
      </c>
      <c r="AI15">
        <v>0</v>
      </c>
      <c r="AJ15" t="s">
        <v>6795</v>
      </c>
      <c r="AK15" t="s">
        <v>6798</v>
      </c>
      <c r="AL15" t="s">
        <v>6801</v>
      </c>
      <c r="AM15">
        <v>0</v>
      </c>
    </row>
    <row r="16" spans="1:44">
      <c r="A16" s="1">
        <f>HYPERLINK("https://lsnyc.legalserver.org/matter/dynamic-profile/view/1911831","19-1911831")</f>
        <v>0</v>
      </c>
      <c r="B16" t="s">
        <v>46</v>
      </c>
      <c r="C16" t="s">
        <v>190</v>
      </c>
      <c r="E16" t="s">
        <v>397</v>
      </c>
      <c r="F16" t="s">
        <v>1273</v>
      </c>
      <c r="G16" t="s">
        <v>2176</v>
      </c>
      <c r="H16" t="s">
        <v>3128</v>
      </c>
      <c r="I16" t="s">
        <v>3483</v>
      </c>
      <c r="J16">
        <v>11417</v>
      </c>
      <c r="K16" t="s">
        <v>3522</v>
      </c>
      <c r="L16" t="s">
        <v>3525</v>
      </c>
      <c r="M16" t="s">
        <v>3538</v>
      </c>
      <c r="N16" t="s">
        <v>4107</v>
      </c>
      <c r="O16" t="s">
        <v>4134</v>
      </c>
      <c r="Q16" t="s">
        <v>4147</v>
      </c>
      <c r="R16" t="s">
        <v>3523</v>
      </c>
      <c r="T16" t="s">
        <v>4156</v>
      </c>
      <c r="U16" t="s">
        <v>4171</v>
      </c>
      <c r="V16" t="s">
        <v>190</v>
      </c>
      <c r="W16">
        <v>500</v>
      </c>
      <c r="X16" t="s">
        <v>4192</v>
      </c>
      <c r="Y16" t="s">
        <v>4197</v>
      </c>
      <c r="Z16" t="s">
        <v>4227</v>
      </c>
      <c r="AA16" t="s">
        <v>5483</v>
      </c>
      <c r="AB16" t="s">
        <v>5656</v>
      </c>
      <c r="AC16">
        <v>2</v>
      </c>
      <c r="AD16" t="s">
        <v>5524</v>
      </c>
      <c r="AE16" t="s">
        <v>3526</v>
      </c>
      <c r="AF16">
        <v>1</v>
      </c>
      <c r="AG16">
        <v>1</v>
      </c>
      <c r="AH16">
        <v>1</v>
      </c>
      <c r="AI16">
        <v>0</v>
      </c>
      <c r="AL16" t="s">
        <v>6803</v>
      </c>
      <c r="AM16">
        <v>0</v>
      </c>
      <c r="AP16" t="s">
        <v>6925</v>
      </c>
    </row>
    <row r="17" spans="1:44">
      <c r="A17" s="1">
        <f>HYPERLINK("https://lsnyc.legalserver.org/matter/dynamic-profile/view/1914108","19-1914108")</f>
        <v>0</v>
      </c>
      <c r="B17" t="s">
        <v>44</v>
      </c>
      <c r="C17" t="s">
        <v>191</v>
      </c>
      <c r="D17" t="s">
        <v>248</v>
      </c>
      <c r="E17" t="s">
        <v>398</v>
      </c>
      <c r="F17" t="s">
        <v>1274</v>
      </c>
      <c r="G17" t="s">
        <v>2177</v>
      </c>
      <c r="H17" t="s">
        <v>3129</v>
      </c>
      <c r="I17" t="s">
        <v>3483</v>
      </c>
      <c r="J17">
        <v>11417</v>
      </c>
      <c r="K17" t="s">
        <v>3522</v>
      </c>
      <c r="L17" t="s">
        <v>3525</v>
      </c>
      <c r="M17" t="s">
        <v>3539</v>
      </c>
      <c r="N17" t="s">
        <v>4107</v>
      </c>
      <c r="O17" t="s">
        <v>4132</v>
      </c>
      <c r="P17" t="s">
        <v>4139</v>
      </c>
      <c r="Q17" t="s">
        <v>4147</v>
      </c>
      <c r="R17" t="s">
        <v>3523</v>
      </c>
      <c r="T17" t="s">
        <v>4156</v>
      </c>
      <c r="U17" t="s">
        <v>4168</v>
      </c>
      <c r="V17" t="s">
        <v>191</v>
      </c>
      <c r="W17">
        <v>795</v>
      </c>
      <c r="X17" t="s">
        <v>4192</v>
      </c>
      <c r="Y17" t="s">
        <v>4197</v>
      </c>
      <c r="Z17" t="s">
        <v>4228</v>
      </c>
      <c r="AB17" t="s">
        <v>5657</v>
      </c>
      <c r="AC17">
        <v>2</v>
      </c>
      <c r="AD17" t="s">
        <v>6771</v>
      </c>
      <c r="AE17" t="s">
        <v>3526</v>
      </c>
      <c r="AF17">
        <v>20</v>
      </c>
      <c r="AG17">
        <v>1</v>
      </c>
      <c r="AH17">
        <v>0</v>
      </c>
      <c r="AI17">
        <v>0</v>
      </c>
      <c r="AL17" t="s">
        <v>6801</v>
      </c>
      <c r="AM17">
        <v>0</v>
      </c>
    </row>
    <row r="18" spans="1:44">
      <c r="A18" s="1">
        <f>HYPERLINK("https://lsnyc.legalserver.org/matter/dynamic-profile/view/1913320","19-1913320")</f>
        <v>0</v>
      </c>
      <c r="B18" t="s">
        <v>49</v>
      </c>
      <c r="C18" t="s">
        <v>192</v>
      </c>
      <c r="E18" t="s">
        <v>399</v>
      </c>
      <c r="F18" t="s">
        <v>1275</v>
      </c>
      <c r="G18" t="s">
        <v>2178</v>
      </c>
      <c r="H18" t="s">
        <v>3130</v>
      </c>
      <c r="I18" t="s">
        <v>3483</v>
      </c>
      <c r="J18">
        <v>11416</v>
      </c>
      <c r="K18" t="s">
        <v>3522</v>
      </c>
      <c r="L18" t="s">
        <v>3525</v>
      </c>
      <c r="M18" t="s">
        <v>3540</v>
      </c>
      <c r="N18" t="s">
        <v>4109</v>
      </c>
      <c r="O18" t="s">
        <v>4134</v>
      </c>
      <c r="Q18" t="s">
        <v>4147</v>
      </c>
      <c r="R18" t="s">
        <v>3523</v>
      </c>
      <c r="T18" t="s">
        <v>4156</v>
      </c>
      <c r="U18" t="s">
        <v>4168</v>
      </c>
      <c r="V18" t="s">
        <v>4174</v>
      </c>
      <c r="W18">
        <v>1515</v>
      </c>
      <c r="X18" t="s">
        <v>4192</v>
      </c>
      <c r="Y18" t="s">
        <v>4197</v>
      </c>
      <c r="Z18" t="s">
        <v>4229</v>
      </c>
      <c r="AA18" t="s">
        <v>5482</v>
      </c>
      <c r="AB18" t="s">
        <v>5658</v>
      </c>
      <c r="AC18">
        <v>6</v>
      </c>
      <c r="AD18" t="s">
        <v>6772</v>
      </c>
      <c r="AE18" t="s">
        <v>6787</v>
      </c>
      <c r="AF18">
        <v>1</v>
      </c>
      <c r="AG18">
        <v>1</v>
      </c>
      <c r="AH18">
        <v>2</v>
      </c>
      <c r="AI18">
        <v>0</v>
      </c>
      <c r="AL18" t="s">
        <v>6801</v>
      </c>
      <c r="AM18">
        <v>0</v>
      </c>
    </row>
    <row r="19" spans="1:44">
      <c r="A19" s="1">
        <f>HYPERLINK("https://lsnyc.legalserver.org/matter/dynamic-profile/view/1907982","19-1907982")</f>
        <v>0</v>
      </c>
      <c r="B19" t="s">
        <v>45</v>
      </c>
      <c r="C19" t="s">
        <v>193</v>
      </c>
      <c r="E19" t="s">
        <v>400</v>
      </c>
      <c r="F19" t="s">
        <v>1276</v>
      </c>
      <c r="G19" t="s">
        <v>2179</v>
      </c>
      <c r="H19" t="s">
        <v>3131</v>
      </c>
      <c r="I19" t="s">
        <v>3484</v>
      </c>
      <c r="J19">
        <v>11412</v>
      </c>
      <c r="K19" t="s">
        <v>3522</v>
      </c>
      <c r="L19" t="s">
        <v>3525</v>
      </c>
      <c r="M19" t="s">
        <v>3541</v>
      </c>
      <c r="N19" t="s">
        <v>4109</v>
      </c>
      <c r="O19" t="s">
        <v>4134</v>
      </c>
      <c r="Q19" t="s">
        <v>4147</v>
      </c>
      <c r="R19" t="s">
        <v>3523</v>
      </c>
      <c r="T19" t="s">
        <v>4156</v>
      </c>
      <c r="U19" t="s">
        <v>4171</v>
      </c>
      <c r="V19" t="s">
        <v>381</v>
      </c>
      <c r="W19">
        <v>1400</v>
      </c>
      <c r="X19" t="s">
        <v>4192</v>
      </c>
      <c r="Y19" t="s">
        <v>4197</v>
      </c>
      <c r="Z19" t="s">
        <v>4230</v>
      </c>
      <c r="AA19" t="s">
        <v>5482</v>
      </c>
      <c r="AB19" t="s">
        <v>5659</v>
      </c>
      <c r="AC19">
        <v>30</v>
      </c>
      <c r="AD19" t="s">
        <v>5524</v>
      </c>
      <c r="AE19" t="s">
        <v>3526</v>
      </c>
      <c r="AF19">
        <v>1</v>
      </c>
      <c r="AG19">
        <v>1</v>
      </c>
      <c r="AH19">
        <v>1</v>
      </c>
      <c r="AI19">
        <v>0</v>
      </c>
      <c r="AL19" t="s">
        <v>6801</v>
      </c>
      <c r="AM19">
        <v>0</v>
      </c>
    </row>
    <row r="20" spans="1:44">
      <c r="A20" s="1">
        <f>HYPERLINK("https://lsnyc.legalserver.org/matter/dynamic-profile/view/1911690","19-1911690")</f>
        <v>0</v>
      </c>
      <c r="B20" t="s">
        <v>47</v>
      </c>
      <c r="C20" t="s">
        <v>194</v>
      </c>
      <c r="E20" t="s">
        <v>401</v>
      </c>
      <c r="F20" t="s">
        <v>1277</v>
      </c>
      <c r="G20" t="s">
        <v>2180</v>
      </c>
      <c r="H20" t="s">
        <v>3132</v>
      </c>
      <c r="I20" t="s">
        <v>3485</v>
      </c>
      <c r="J20">
        <v>11379</v>
      </c>
      <c r="K20" t="s">
        <v>3522</v>
      </c>
      <c r="L20" t="s">
        <v>3525</v>
      </c>
      <c r="M20" t="s">
        <v>3542</v>
      </c>
      <c r="N20" t="s">
        <v>4107</v>
      </c>
      <c r="O20" t="s">
        <v>4132</v>
      </c>
      <c r="Q20" t="s">
        <v>4147</v>
      </c>
      <c r="R20" t="s">
        <v>3523</v>
      </c>
      <c r="T20" t="s">
        <v>4156</v>
      </c>
      <c r="U20" t="s">
        <v>4168</v>
      </c>
      <c r="V20" t="s">
        <v>4174</v>
      </c>
      <c r="W20">
        <v>2250</v>
      </c>
      <c r="X20" t="s">
        <v>4192</v>
      </c>
      <c r="Y20" t="s">
        <v>4197</v>
      </c>
      <c r="Z20" t="s">
        <v>4231</v>
      </c>
      <c r="AA20" t="s">
        <v>5482</v>
      </c>
      <c r="AB20" t="s">
        <v>5660</v>
      </c>
      <c r="AC20">
        <v>3</v>
      </c>
      <c r="AD20" t="s">
        <v>5524</v>
      </c>
      <c r="AE20" t="s">
        <v>3526</v>
      </c>
      <c r="AF20">
        <v>1</v>
      </c>
      <c r="AG20">
        <v>2</v>
      </c>
      <c r="AH20">
        <v>2</v>
      </c>
      <c r="AI20">
        <v>0</v>
      </c>
      <c r="AL20" t="s">
        <v>6801</v>
      </c>
      <c r="AM20">
        <v>0</v>
      </c>
    </row>
    <row r="21" spans="1:44">
      <c r="A21" s="1">
        <f>HYPERLINK("https://lsnyc.legalserver.org/matter/dynamic-profile/view/1906212","19-1906212")</f>
        <v>0</v>
      </c>
      <c r="B21" t="s">
        <v>49</v>
      </c>
      <c r="C21" t="s">
        <v>188</v>
      </c>
      <c r="E21" t="s">
        <v>402</v>
      </c>
      <c r="F21" t="s">
        <v>1278</v>
      </c>
      <c r="G21" t="s">
        <v>2181</v>
      </c>
      <c r="H21" t="s">
        <v>3133</v>
      </c>
      <c r="I21" t="s">
        <v>3486</v>
      </c>
      <c r="J21">
        <v>11377</v>
      </c>
      <c r="K21" t="s">
        <v>3522</v>
      </c>
      <c r="L21" t="s">
        <v>3525</v>
      </c>
      <c r="M21" t="s">
        <v>3543</v>
      </c>
      <c r="N21" t="s">
        <v>4107</v>
      </c>
      <c r="O21" t="s">
        <v>4134</v>
      </c>
      <c r="Q21" t="s">
        <v>4147</v>
      </c>
      <c r="R21" t="s">
        <v>3523</v>
      </c>
      <c r="T21" t="s">
        <v>4156</v>
      </c>
      <c r="U21" t="s">
        <v>4168</v>
      </c>
      <c r="V21" t="s">
        <v>381</v>
      </c>
      <c r="W21">
        <v>1400</v>
      </c>
      <c r="X21" t="s">
        <v>4192</v>
      </c>
      <c r="Y21" t="s">
        <v>4201</v>
      </c>
      <c r="Z21" t="s">
        <v>4232</v>
      </c>
      <c r="AA21" t="s">
        <v>5482</v>
      </c>
      <c r="AC21">
        <v>8</v>
      </c>
      <c r="AD21" t="s">
        <v>6771</v>
      </c>
      <c r="AE21" t="s">
        <v>3526</v>
      </c>
      <c r="AF21">
        <v>-1</v>
      </c>
      <c r="AG21">
        <v>1</v>
      </c>
      <c r="AH21">
        <v>1</v>
      </c>
      <c r="AI21">
        <v>0</v>
      </c>
      <c r="AL21" t="s">
        <v>6802</v>
      </c>
      <c r="AM21">
        <v>0</v>
      </c>
    </row>
    <row r="22" spans="1:44">
      <c r="A22" s="1">
        <f>HYPERLINK("https://lsnyc.legalserver.org/matter/dynamic-profile/view/1916808","19-1916808")</f>
        <v>0</v>
      </c>
      <c r="B22" t="s">
        <v>49</v>
      </c>
      <c r="C22" t="s">
        <v>195</v>
      </c>
      <c r="E22" t="s">
        <v>402</v>
      </c>
      <c r="F22" t="s">
        <v>1278</v>
      </c>
      <c r="G22" t="s">
        <v>2181</v>
      </c>
      <c r="H22" t="s">
        <v>3133</v>
      </c>
      <c r="I22" t="s">
        <v>3486</v>
      </c>
      <c r="J22">
        <v>11377</v>
      </c>
      <c r="K22" t="s">
        <v>3522</v>
      </c>
      <c r="L22" t="s">
        <v>3525</v>
      </c>
      <c r="M22" t="s">
        <v>3544</v>
      </c>
      <c r="N22" t="s">
        <v>4108</v>
      </c>
      <c r="O22" t="s">
        <v>4134</v>
      </c>
      <c r="Q22" t="s">
        <v>4147</v>
      </c>
      <c r="R22" t="s">
        <v>3523</v>
      </c>
      <c r="T22" t="s">
        <v>4156</v>
      </c>
      <c r="V22" t="s">
        <v>195</v>
      </c>
      <c r="W22">
        <v>1400</v>
      </c>
      <c r="X22" t="s">
        <v>4192</v>
      </c>
      <c r="Y22" t="s">
        <v>4201</v>
      </c>
      <c r="Z22" t="s">
        <v>4232</v>
      </c>
      <c r="AB22" t="s">
        <v>5482</v>
      </c>
      <c r="AC22">
        <v>8</v>
      </c>
      <c r="AD22" t="s">
        <v>6771</v>
      </c>
      <c r="AE22" t="s">
        <v>3526</v>
      </c>
      <c r="AF22">
        <v>-1</v>
      </c>
      <c r="AG22">
        <v>1</v>
      </c>
      <c r="AH22">
        <v>1</v>
      </c>
      <c r="AI22">
        <v>0</v>
      </c>
      <c r="AL22" t="s">
        <v>6802</v>
      </c>
      <c r="AM22">
        <v>0</v>
      </c>
      <c r="AQ22" t="s">
        <v>6945</v>
      </c>
      <c r="AR22" t="s">
        <v>6948</v>
      </c>
    </row>
    <row r="23" spans="1:44">
      <c r="A23" s="1">
        <f>HYPERLINK("https://lsnyc.legalserver.org/matter/dynamic-profile/view/1912582","19-1912582")</f>
        <v>0</v>
      </c>
      <c r="B23" t="s">
        <v>49</v>
      </c>
      <c r="C23" t="s">
        <v>196</v>
      </c>
      <c r="E23" t="s">
        <v>403</v>
      </c>
      <c r="F23" t="s">
        <v>1279</v>
      </c>
      <c r="G23" t="s">
        <v>2182</v>
      </c>
      <c r="I23" t="s">
        <v>3487</v>
      </c>
      <c r="J23">
        <v>11368</v>
      </c>
      <c r="K23" t="s">
        <v>3522</v>
      </c>
      <c r="L23" t="s">
        <v>3525</v>
      </c>
      <c r="M23" t="s">
        <v>3545</v>
      </c>
      <c r="N23" t="s">
        <v>4110</v>
      </c>
      <c r="O23" t="s">
        <v>4137</v>
      </c>
      <c r="Q23" t="s">
        <v>4147</v>
      </c>
      <c r="R23" t="s">
        <v>3522</v>
      </c>
      <c r="T23" t="s">
        <v>4156</v>
      </c>
      <c r="U23" t="s">
        <v>4168</v>
      </c>
      <c r="V23" t="s">
        <v>196</v>
      </c>
      <c r="W23">
        <v>1240</v>
      </c>
      <c r="X23" t="s">
        <v>4192</v>
      </c>
      <c r="Y23" t="s">
        <v>4198</v>
      </c>
      <c r="Z23" t="s">
        <v>4233</v>
      </c>
      <c r="AA23" t="s">
        <v>5482</v>
      </c>
      <c r="AB23" t="s">
        <v>5482</v>
      </c>
      <c r="AC23">
        <v>237</v>
      </c>
      <c r="AD23" t="s">
        <v>6772</v>
      </c>
      <c r="AE23" t="s">
        <v>3526</v>
      </c>
      <c r="AF23">
        <v>27</v>
      </c>
      <c r="AG23">
        <v>1</v>
      </c>
      <c r="AH23">
        <v>0</v>
      </c>
      <c r="AI23">
        <v>0</v>
      </c>
      <c r="AL23" t="s">
        <v>6801</v>
      </c>
      <c r="AM23">
        <v>0</v>
      </c>
      <c r="AP23" t="s">
        <v>4200</v>
      </c>
    </row>
    <row r="24" spans="1:44">
      <c r="A24" s="1">
        <f>HYPERLINK("https://lsnyc.legalserver.org/matter/dynamic-profile/view/1909287","19-1909287")</f>
        <v>0</v>
      </c>
      <c r="B24" t="s">
        <v>49</v>
      </c>
      <c r="C24" t="s">
        <v>197</v>
      </c>
      <c r="E24" t="s">
        <v>404</v>
      </c>
      <c r="F24" t="s">
        <v>1280</v>
      </c>
      <c r="G24" t="s">
        <v>2182</v>
      </c>
      <c r="H24" t="s">
        <v>3134</v>
      </c>
      <c r="I24" t="s">
        <v>3487</v>
      </c>
      <c r="J24">
        <v>11368</v>
      </c>
      <c r="K24" t="s">
        <v>3522</v>
      </c>
      <c r="L24" t="s">
        <v>3525</v>
      </c>
      <c r="M24" t="s">
        <v>3546</v>
      </c>
      <c r="N24" t="s">
        <v>4107</v>
      </c>
      <c r="O24" t="s">
        <v>4134</v>
      </c>
      <c r="Q24" t="s">
        <v>4147</v>
      </c>
      <c r="R24" t="s">
        <v>3523</v>
      </c>
      <c r="T24" t="s">
        <v>4156</v>
      </c>
      <c r="V24" t="s">
        <v>197</v>
      </c>
      <c r="W24">
        <v>1079</v>
      </c>
      <c r="X24" t="s">
        <v>4192</v>
      </c>
      <c r="Y24" t="s">
        <v>4197</v>
      </c>
      <c r="Z24" t="s">
        <v>4234</v>
      </c>
      <c r="AA24" t="s">
        <v>5484</v>
      </c>
      <c r="AB24" t="s">
        <v>5661</v>
      </c>
      <c r="AC24">
        <v>237</v>
      </c>
      <c r="AD24" t="s">
        <v>6772</v>
      </c>
      <c r="AE24" t="s">
        <v>4200</v>
      </c>
      <c r="AF24">
        <v>2</v>
      </c>
      <c r="AG24">
        <v>1</v>
      </c>
      <c r="AH24">
        <v>0</v>
      </c>
      <c r="AI24">
        <v>0</v>
      </c>
      <c r="AL24" t="s">
        <v>6801</v>
      </c>
      <c r="AM24">
        <v>0</v>
      </c>
    </row>
    <row r="25" spans="1:44">
      <c r="A25" s="1">
        <f>HYPERLINK("https://lsnyc.legalserver.org/matter/dynamic-profile/view/1910900","19-1910900")</f>
        <v>0</v>
      </c>
      <c r="B25" t="s">
        <v>46</v>
      </c>
      <c r="C25" t="s">
        <v>198</v>
      </c>
      <c r="E25" t="s">
        <v>405</v>
      </c>
      <c r="F25" t="s">
        <v>1281</v>
      </c>
      <c r="G25" t="s">
        <v>2183</v>
      </c>
      <c r="H25" t="s">
        <v>3135</v>
      </c>
      <c r="I25" t="s">
        <v>3487</v>
      </c>
      <c r="J25">
        <v>11368</v>
      </c>
      <c r="K25" t="s">
        <v>3522</v>
      </c>
      <c r="L25" t="s">
        <v>3526</v>
      </c>
      <c r="N25" t="s">
        <v>3554</v>
      </c>
      <c r="O25" t="s">
        <v>4132</v>
      </c>
      <c r="Q25" t="s">
        <v>4148</v>
      </c>
      <c r="R25" t="s">
        <v>3523</v>
      </c>
      <c r="T25" t="s">
        <v>4156</v>
      </c>
      <c r="V25" t="s">
        <v>198</v>
      </c>
      <c r="W25">
        <v>2000</v>
      </c>
      <c r="X25" t="s">
        <v>4192</v>
      </c>
      <c r="Y25" t="s">
        <v>4199</v>
      </c>
      <c r="Z25" t="s">
        <v>4235</v>
      </c>
      <c r="AB25" t="s">
        <v>5662</v>
      </c>
      <c r="AC25">
        <v>11</v>
      </c>
      <c r="AF25">
        <v>1</v>
      </c>
      <c r="AG25">
        <v>1</v>
      </c>
      <c r="AH25">
        <v>4</v>
      </c>
      <c r="AI25">
        <v>0</v>
      </c>
      <c r="AJ25" t="s">
        <v>6795</v>
      </c>
      <c r="AK25" t="s">
        <v>6798</v>
      </c>
      <c r="AL25" t="s">
        <v>6802</v>
      </c>
      <c r="AM25">
        <v>0</v>
      </c>
    </row>
    <row r="26" spans="1:44">
      <c r="A26" s="1">
        <f>HYPERLINK("https://lsnyc.legalserver.org/matter/dynamic-profile/view/1913825","19-1913825")</f>
        <v>0</v>
      </c>
      <c r="B26" t="s">
        <v>50</v>
      </c>
      <c r="C26" t="s">
        <v>199</v>
      </c>
      <c r="E26" t="s">
        <v>406</v>
      </c>
      <c r="F26" t="s">
        <v>1282</v>
      </c>
      <c r="G26" t="s">
        <v>2184</v>
      </c>
      <c r="H26" t="s">
        <v>3136</v>
      </c>
      <c r="I26" t="s">
        <v>3488</v>
      </c>
      <c r="J26">
        <v>11358</v>
      </c>
      <c r="K26" t="s">
        <v>3522</v>
      </c>
      <c r="L26" t="s">
        <v>3525</v>
      </c>
      <c r="M26" t="s">
        <v>3547</v>
      </c>
      <c r="N26" t="s">
        <v>4109</v>
      </c>
      <c r="O26" t="s">
        <v>4132</v>
      </c>
      <c r="Q26" t="s">
        <v>4147</v>
      </c>
      <c r="R26" t="s">
        <v>3523</v>
      </c>
      <c r="T26" t="s">
        <v>4156</v>
      </c>
      <c r="U26" t="s">
        <v>4168</v>
      </c>
      <c r="V26" t="s">
        <v>4174</v>
      </c>
      <c r="W26">
        <v>1850</v>
      </c>
      <c r="X26" t="s">
        <v>4192</v>
      </c>
      <c r="Y26" t="s">
        <v>4197</v>
      </c>
      <c r="Z26" t="s">
        <v>4236</v>
      </c>
      <c r="AA26" t="s">
        <v>5482</v>
      </c>
      <c r="AB26" t="s">
        <v>5663</v>
      </c>
      <c r="AC26">
        <v>6</v>
      </c>
      <c r="AD26" t="s">
        <v>5524</v>
      </c>
      <c r="AE26" t="s">
        <v>3526</v>
      </c>
      <c r="AF26">
        <v>1</v>
      </c>
      <c r="AG26">
        <v>1</v>
      </c>
      <c r="AH26">
        <v>2</v>
      </c>
      <c r="AI26">
        <v>0</v>
      </c>
      <c r="AL26" t="s">
        <v>6801</v>
      </c>
      <c r="AM26">
        <v>0</v>
      </c>
    </row>
    <row r="27" spans="1:44">
      <c r="A27" s="1">
        <f>HYPERLINK("https://lsnyc.legalserver.org/matter/dynamic-profile/view/1915183","19-1915183")</f>
        <v>0</v>
      </c>
      <c r="B27" t="s">
        <v>46</v>
      </c>
      <c r="C27" t="s">
        <v>182</v>
      </c>
      <c r="E27" t="s">
        <v>407</v>
      </c>
      <c r="F27" t="s">
        <v>1283</v>
      </c>
      <c r="G27" t="s">
        <v>2185</v>
      </c>
      <c r="H27" t="s">
        <v>3137</v>
      </c>
      <c r="I27" t="s">
        <v>3489</v>
      </c>
      <c r="J27">
        <v>11356</v>
      </c>
      <c r="K27" t="s">
        <v>3522</v>
      </c>
      <c r="L27" t="s">
        <v>3525</v>
      </c>
      <c r="M27" t="s">
        <v>3548</v>
      </c>
      <c r="N27" t="s">
        <v>4109</v>
      </c>
      <c r="O27" t="s">
        <v>4134</v>
      </c>
      <c r="Q27" t="s">
        <v>4147</v>
      </c>
      <c r="R27" t="s">
        <v>3523</v>
      </c>
      <c r="T27" t="s">
        <v>4156</v>
      </c>
      <c r="U27" t="s">
        <v>4168</v>
      </c>
      <c r="V27" t="s">
        <v>260</v>
      </c>
      <c r="W27">
        <v>1500</v>
      </c>
      <c r="X27" t="s">
        <v>4192</v>
      </c>
      <c r="Y27" t="s">
        <v>4197</v>
      </c>
      <c r="Z27" t="s">
        <v>4237</v>
      </c>
      <c r="AB27" t="s">
        <v>5664</v>
      </c>
      <c r="AC27">
        <v>2</v>
      </c>
      <c r="AD27" t="s">
        <v>6771</v>
      </c>
      <c r="AE27" t="s">
        <v>3526</v>
      </c>
      <c r="AF27">
        <v>6</v>
      </c>
      <c r="AG27">
        <v>2</v>
      </c>
      <c r="AH27">
        <v>0</v>
      </c>
      <c r="AI27">
        <v>0</v>
      </c>
      <c r="AL27" t="s">
        <v>6801</v>
      </c>
      <c r="AM27">
        <v>0</v>
      </c>
    </row>
    <row r="28" spans="1:44">
      <c r="A28" s="1">
        <f>HYPERLINK("https://lsnyc.legalserver.org/matter/dynamic-profile/view/1910682","19-1910682")</f>
        <v>0</v>
      </c>
      <c r="B28" t="s">
        <v>51</v>
      </c>
      <c r="C28" t="s">
        <v>177</v>
      </c>
      <c r="E28" t="s">
        <v>408</v>
      </c>
      <c r="F28" t="s">
        <v>1284</v>
      </c>
      <c r="G28" t="s">
        <v>2186</v>
      </c>
      <c r="H28">
        <v>11</v>
      </c>
      <c r="I28" t="s">
        <v>3490</v>
      </c>
      <c r="J28">
        <v>11238</v>
      </c>
      <c r="K28" t="s">
        <v>3522</v>
      </c>
      <c r="L28" t="s">
        <v>3525</v>
      </c>
      <c r="N28" t="s">
        <v>4107</v>
      </c>
      <c r="O28" t="s">
        <v>4135</v>
      </c>
      <c r="Q28" t="s">
        <v>4147</v>
      </c>
      <c r="R28" t="s">
        <v>3523</v>
      </c>
      <c r="T28" t="s">
        <v>4156</v>
      </c>
      <c r="V28" t="s">
        <v>177</v>
      </c>
      <c r="W28">
        <v>1200</v>
      </c>
      <c r="X28" t="s">
        <v>4193</v>
      </c>
      <c r="Z28" t="s">
        <v>4238</v>
      </c>
      <c r="AB28" t="s">
        <v>5665</v>
      </c>
      <c r="AC28">
        <v>6</v>
      </c>
      <c r="AF28">
        <v>0</v>
      </c>
      <c r="AG28">
        <v>2</v>
      </c>
      <c r="AH28">
        <v>0</v>
      </c>
      <c r="AI28">
        <v>0</v>
      </c>
      <c r="AL28" t="s">
        <v>6801</v>
      </c>
      <c r="AM28">
        <v>0</v>
      </c>
    </row>
    <row r="29" spans="1:44">
      <c r="A29" s="1">
        <f>HYPERLINK("https://lsnyc.legalserver.org/matter/dynamic-profile/view/1915608","19-1915608")</f>
        <v>0</v>
      </c>
      <c r="B29" t="s">
        <v>52</v>
      </c>
      <c r="C29" t="s">
        <v>200</v>
      </c>
      <c r="D29" t="s">
        <v>243</v>
      </c>
      <c r="E29" t="s">
        <v>408</v>
      </c>
      <c r="F29" t="s">
        <v>1284</v>
      </c>
      <c r="G29" t="s">
        <v>2186</v>
      </c>
      <c r="H29">
        <v>11</v>
      </c>
      <c r="I29" t="s">
        <v>3490</v>
      </c>
      <c r="J29">
        <v>11238</v>
      </c>
      <c r="K29" t="s">
        <v>3522</v>
      </c>
      <c r="L29" t="s">
        <v>3525</v>
      </c>
      <c r="N29" t="s">
        <v>3554</v>
      </c>
      <c r="O29" t="s">
        <v>4132</v>
      </c>
      <c r="P29" t="s">
        <v>4139</v>
      </c>
      <c r="Q29" t="s">
        <v>4147</v>
      </c>
      <c r="R29" t="s">
        <v>3523</v>
      </c>
      <c r="T29" t="s">
        <v>4156</v>
      </c>
      <c r="V29" t="s">
        <v>200</v>
      </c>
      <c r="W29">
        <v>1200</v>
      </c>
      <c r="X29" t="s">
        <v>4193</v>
      </c>
      <c r="Z29" t="s">
        <v>4238</v>
      </c>
      <c r="AB29" t="s">
        <v>5665</v>
      </c>
      <c r="AC29">
        <v>6</v>
      </c>
      <c r="AF29">
        <v>0</v>
      </c>
      <c r="AG29">
        <v>2</v>
      </c>
      <c r="AH29">
        <v>0</v>
      </c>
      <c r="AI29">
        <v>0</v>
      </c>
      <c r="AL29" t="s">
        <v>6801</v>
      </c>
      <c r="AM29">
        <v>0</v>
      </c>
    </row>
    <row r="30" spans="1:44">
      <c r="A30" s="1">
        <f>HYPERLINK("https://lsnyc.legalserver.org/matter/dynamic-profile/view/1910823","19-1910823")</f>
        <v>0</v>
      </c>
      <c r="B30" t="s">
        <v>53</v>
      </c>
      <c r="C30" t="s">
        <v>201</v>
      </c>
      <c r="E30" t="s">
        <v>409</v>
      </c>
      <c r="F30" t="s">
        <v>1285</v>
      </c>
      <c r="G30" t="s">
        <v>2187</v>
      </c>
      <c r="H30" t="s">
        <v>3138</v>
      </c>
      <c r="I30" t="s">
        <v>3490</v>
      </c>
      <c r="J30">
        <v>11238</v>
      </c>
      <c r="K30" t="s">
        <v>3523</v>
      </c>
      <c r="L30" t="s">
        <v>3526</v>
      </c>
      <c r="M30" t="s">
        <v>3549</v>
      </c>
      <c r="N30" t="s">
        <v>4109</v>
      </c>
      <c r="O30" t="s">
        <v>4134</v>
      </c>
      <c r="Q30" t="s">
        <v>4147</v>
      </c>
      <c r="R30" t="s">
        <v>3522</v>
      </c>
      <c r="T30" t="s">
        <v>4156</v>
      </c>
      <c r="U30" t="s">
        <v>4168</v>
      </c>
      <c r="V30" t="s">
        <v>214</v>
      </c>
      <c r="W30">
        <v>1119.8</v>
      </c>
      <c r="X30" t="s">
        <v>4193</v>
      </c>
      <c r="Y30" t="s">
        <v>4202</v>
      </c>
      <c r="Z30" t="s">
        <v>4239</v>
      </c>
      <c r="AB30" t="s">
        <v>5666</v>
      </c>
      <c r="AC30">
        <v>38</v>
      </c>
      <c r="AD30" t="s">
        <v>6772</v>
      </c>
      <c r="AE30" t="s">
        <v>3526</v>
      </c>
      <c r="AF30">
        <v>13</v>
      </c>
      <c r="AG30">
        <v>1</v>
      </c>
      <c r="AH30">
        <v>0</v>
      </c>
      <c r="AI30">
        <v>0</v>
      </c>
      <c r="AL30" t="s">
        <v>6801</v>
      </c>
      <c r="AM30">
        <v>0</v>
      </c>
      <c r="AO30" t="s">
        <v>6915</v>
      </c>
    </row>
    <row r="31" spans="1:44">
      <c r="A31" s="1">
        <f>HYPERLINK("https://lsnyc.legalserver.org/matter/dynamic-profile/view/1910906","19-1910906")</f>
        <v>0</v>
      </c>
      <c r="B31" t="s">
        <v>53</v>
      </c>
      <c r="C31" t="s">
        <v>198</v>
      </c>
      <c r="E31" t="s">
        <v>410</v>
      </c>
      <c r="F31" t="s">
        <v>1286</v>
      </c>
      <c r="I31" t="s">
        <v>3490</v>
      </c>
      <c r="J31">
        <v>11238</v>
      </c>
      <c r="K31" t="s">
        <v>3522</v>
      </c>
      <c r="L31" t="s">
        <v>3525</v>
      </c>
      <c r="N31" t="s">
        <v>4109</v>
      </c>
      <c r="O31" t="s">
        <v>4134</v>
      </c>
      <c r="Q31" t="s">
        <v>4147</v>
      </c>
      <c r="R31" t="s">
        <v>3522</v>
      </c>
      <c r="T31" t="s">
        <v>4156</v>
      </c>
      <c r="U31" t="s">
        <v>4168</v>
      </c>
      <c r="V31" t="s">
        <v>257</v>
      </c>
      <c r="W31">
        <v>0</v>
      </c>
      <c r="X31" t="s">
        <v>4193</v>
      </c>
      <c r="Y31" t="s">
        <v>4202</v>
      </c>
      <c r="Z31" t="s">
        <v>4240</v>
      </c>
      <c r="AC31">
        <v>0</v>
      </c>
      <c r="AD31" t="s">
        <v>6772</v>
      </c>
      <c r="AF31">
        <v>0</v>
      </c>
      <c r="AG31">
        <v>1</v>
      </c>
      <c r="AH31">
        <v>0</v>
      </c>
      <c r="AI31">
        <v>0</v>
      </c>
      <c r="AL31" t="s">
        <v>6801</v>
      </c>
      <c r="AM31">
        <v>0</v>
      </c>
    </row>
    <row r="32" spans="1:44">
      <c r="A32" s="1">
        <f>HYPERLINK("https://lsnyc.legalserver.org/matter/dynamic-profile/view/1912384","19-1912384")</f>
        <v>0</v>
      </c>
      <c r="B32" t="s">
        <v>53</v>
      </c>
      <c r="C32" t="s">
        <v>202</v>
      </c>
      <c r="E32" t="s">
        <v>411</v>
      </c>
      <c r="F32" t="s">
        <v>1287</v>
      </c>
      <c r="G32" t="s">
        <v>2188</v>
      </c>
      <c r="H32" t="s">
        <v>3139</v>
      </c>
      <c r="I32" t="s">
        <v>3490</v>
      </c>
      <c r="J32">
        <v>11238</v>
      </c>
      <c r="K32" t="s">
        <v>3522</v>
      </c>
      <c r="L32" t="s">
        <v>3525</v>
      </c>
      <c r="N32" t="s">
        <v>4109</v>
      </c>
      <c r="O32" t="s">
        <v>4134</v>
      </c>
      <c r="Q32" t="s">
        <v>4147</v>
      </c>
      <c r="R32" t="s">
        <v>3522</v>
      </c>
      <c r="T32" t="s">
        <v>4156</v>
      </c>
      <c r="U32" t="s">
        <v>4170</v>
      </c>
      <c r="V32" t="s">
        <v>202</v>
      </c>
      <c r="W32">
        <v>989.25</v>
      </c>
      <c r="X32" t="s">
        <v>4193</v>
      </c>
      <c r="Y32" t="s">
        <v>4202</v>
      </c>
      <c r="Z32" t="s">
        <v>4241</v>
      </c>
      <c r="AB32" t="s">
        <v>5667</v>
      </c>
      <c r="AC32">
        <v>29</v>
      </c>
      <c r="AD32" t="s">
        <v>6772</v>
      </c>
      <c r="AE32" t="s">
        <v>6788</v>
      </c>
      <c r="AF32">
        <v>10</v>
      </c>
      <c r="AG32">
        <v>1</v>
      </c>
      <c r="AH32">
        <v>1</v>
      </c>
      <c r="AI32">
        <v>0</v>
      </c>
      <c r="AL32" t="s">
        <v>6801</v>
      </c>
      <c r="AM32">
        <v>0</v>
      </c>
    </row>
    <row r="33" spans="1:44">
      <c r="A33" s="1">
        <f>HYPERLINK("https://lsnyc.legalserver.org/matter/dynamic-profile/view/1910536","19-1910536")</f>
        <v>0</v>
      </c>
      <c r="B33" t="s">
        <v>54</v>
      </c>
      <c r="C33" t="s">
        <v>203</v>
      </c>
      <c r="E33" t="s">
        <v>412</v>
      </c>
      <c r="F33" t="s">
        <v>1288</v>
      </c>
      <c r="G33" t="s">
        <v>2189</v>
      </c>
      <c r="I33" t="s">
        <v>3490</v>
      </c>
      <c r="J33">
        <v>11233</v>
      </c>
      <c r="K33" t="s">
        <v>3522</v>
      </c>
      <c r="L33" t="s">
        <v>3526</v>
      </c>
      <c r="M33" t="s">
        <v>3550</v>
      </c>
      <c r="N33" t="s">
        <v>4110</v>
      </c>
      <c r="O33" t="s">
        <v>4137</v>
      </c>
      <c r="Q33" t="s">
        <v>4147</v>
      </c>
      <c r="R33" t="s">
        <v>3522</v>
      </c>
      <c r="T33" t="s">
        <v>4156</v>
      </c>
      <c r="U33" t="s">
        <v>4168</v>
      </c>
      <c r="V33" t="s">
        <v>4175</v>
      </c>
      <c r="W33">
        <v>0</v>
      </c>
      <c r="X33" t="s">
        <v>4193</v>
      </c>
      <c r="Y33" t="s">
        <v>4198</v>
      </c>
      <c r="Z33" t="s">
        <v>4242</v>
      </c>
      <c r="AA33" t="s">
        <v>3562</v>
      </c>
      <c r="AC33">
        <v>1107</v>
      </c>
      <c r="AD33" t="s">
        <v>6772</v>
      </c>
      <c r="AE33" t="s">
        <v>4200</v>
      </c>
      <c r="AF33">
        <v>0</v>
      </c>
      <c r="AG33">
        <v>4</v>
      </c>
      <c r="AH33">
        <v>0</v>
      </c>
      <c r="AI33">
        <v>0</v>
      </c>
      <c r="AL33" t="s">
        <v>6801</v>
      </c>
      <c r="AM33">
        <v>0</v>
      </c>
      <c r="AN33" t="s">
        <v>6821</v>
      </c>
    </row>
    <row r="34" spans="1:44">
      <c r="A34" s="1">
        <f>HYPERLINK("https://lsnyc.legalserver.org/matter/dynamic-profile/view/1915251","19-1915251")</f>
        <v>0</v>
      </c>
      <c r="B34" t="s">
        <v>54</v>
      </c>
      <c r="C34" t="s">
        <v>204</v>
      </c>
      <c r="E34" t="s">
        <v>413</v>
      </c>
      <c r="F34" t="s">
        <v>1289</v>
      </c>
      <c r="G34" t="s">
        <v>2189</v>
      </c>
      <c r="H34" t="s">
        <v>3140</v>
      </c>
      <c r="I34" t="s">
        <v>3490</v>
      </c>
      <c r="J34">
        <v>11233</v>
      </c>
      <c r="K34" t="s">
        <v>3522</v>
      </c>
      <c r="L34" t="s">
        <v>3526</v>
      </c>
      <c r="M34" t="s">
        <v>3551</v>
      </c>
      <c r="N34" t="s">
        <v>4110</v>
      </c>
      <c r="O34" t="s">
        <v>4137</v>
      </c>
      <c r="Q34" t="s">
        <v>4147</v>
      </c>
      <c r="R34" t="s">
        <v>3522</v>
      </c>
      <c r="T34" t="s">
        <v>4156</v>
      </c>
      <c r="U34" t="s">
        <v>4168</v>
      </c>
      <c r="V34" t="s">
        <v>204</v>
      </c>
      <c r="W34">
        <v>1066.79</v>
      </c>
      <c r="X34" t="s">
        <v>4193</v>
      </c>
      <c r="Z34" t="s">
        <v>4243</v>
      </c>
      <c r="AA34" t="s">
        <v>5485</v>
      </c>
      <c r="AC34">
        <v>715</v>
      </c>
      <c r="AD34" t="s">
        <v>6772</v>
      </c>
      <c r="AE34" t="s">
        <v>3526</v>
      </c>
      <c r="AF34">
        <v>33</v>
      </c>
      <c r="AG34">
        <v>1</v>
      </c>
      <c r="AH34">
        <v>0</v>
      </c>
      <c r="AI34">
        <v>0</v>
      </c>
      <c r="AL34" t="s">
        <v>6801</v>
      </c>
      <c r="AM34">
        <v>0</v>
      </c>
      <c r="AN34" t="s">
        <v>6822</v>
      </c>
    </row>
    <row r="35" spans="1:44">
      <c r="A35" s="1">
        <f>HYPERLINK("https://lsnyc.legalserver.org/matter/dynamic-profile/view/1908740","19-1908740")</f>
        <v>0</v>
      </c>
      <c r="B35" t="s">
        <v>55</v>
      </c>
      <c r="C35" t="s">
        <v>205</v>
      </c>
      <c r="D35" t="s">
        <v>237</v>
      </c>
      <c r="E35" t="s">
        <v>409</v>
      </c>
      <c r="F35" t="s">
        <v>1290</v>
      </c>
      <c r="G35" t="s">
        <v>2190</v>
      </c>
      <c r="H35" t="s">
        <v>3141</v>
      </c>
      <c r="I35" t="s">
        <v>3490</v>
      </c>
      <c r="J35">
        <v>11233</v>
      </c>
      <c r="K35" t="s">
        <v>3522</v>
      </c>
      <c r="L35" t="s">
        <v>3525</v>
      </c>
      <c r="M35" t="s">
        <v>3552</v>
      </c>
      <c r="N35" t="s">
        <v>4107</v>
      </c>
      <c r="O35" t="s">
        <v>4134</v>
      </c>
      <c r="P35" t="s">
        <v>4140</v>
      </c>
      <c r="Q35" t="s">
        <v>4147</v>
      </c>
      <c r="R35" t="s">
        <v>3523</v>
      </c>
      <c r="T35" t="s">
        <v>4156</v>
      </c>
      <c r="U35" t="s">
        <v>4168</v>
      </c>
      <c r="V35" t="s">
        <v>230</v>
      </c>
      <c r="W35">
        <v>1129</v>
      </c>
      <c r="X35" t="s">
        <v>4193</v>
      </c>
      <c r="Y35" t="s">
        <v>4202</v>
      </c>
      <c r="Z35" t="s">
        <v>4244</v>
      </c>
      <c r="AA35" t="s">
        <v>3562</v>
      </c>
      <c r="AB35" t="s">
        <v>5668</v>
      </c>
      <c r="AC35">
        <v>8</v>
      </c>
      <c r="AD35" t="s">
        <v>6772</v>
      </c>
      <c r="AE35" t="s">
        <v>3526</v>
      </c>
      <c r="AF35">
        <v>3</v>
      </c>
      <c r="AG35">
        <v>1</v>
      </c>
      <c r="AH35">
        <v>0</v>
      </c>
      <c r="AI35">
        <v>0</v>
      </c>
      <c r="AL35" t="s">
        <v>6801</v>
      </c>
      <c r="AM35">
        <v>0</v>
      </c>
      <c r="AO35" t="s">
        <v>6915</v>
      </c>
      <c r="AP35" t="s">
        <v>6926</v>
      </c>
      <c r="AR35" t="s">
        <v>6949</v>
      </c>
    </row>
    <row r="36" spans="1:44">
      <c r="A36" s="1">
        <f>HYPERLINK("https://lsnyc.legalserver.org/matter/dynamic-profile/view/1905738","19-1905738")</f>
        <v>0</v>
      </c>
      <c r="B36" t="s">
        <v>56</v>
      </c>
      <c r="C36" t="s">
        <v>206</v>
      </c>
      <c r="D36" t="s">
        <v>200</v>
      </c>
      <c r="E36" t="s">
        <v>414</v>
      </c>
      <c r="F36" t="s">
        <v>1291</v>
      </c>
      <c r="G36" t="s">
        <v>2191</v>
      </c>
      <c r="H36" t="s">
        <v>3141</v>
      </c>
      <c r="I36" t="s">
        <v>3490</v>
      </c>
      <c r="J36">
        <v>11233</v>
      </c>
      <c r="K36" t="s">
        <v>3522</v>
      </c>
      <c r="L36" t="s">
        <v>3527</v>
      </c>
      <c r="M36" t="s">
        <v>3553</v>
      </c>
      <c r="N36" t="s">
        <v>3554</v>
      </c>
      <c r="O36" t="s">
        <v>4132</v>
      </c>
      <c r="P36" t="s">
        <v>4139</v>
      </c>
      <c r="Q36" t="s">
        <v>4147</v>
      </c>
      <c r="R36" t="s">
        <v>3523</v>
      </c>
      <c r="T36" t="s">
        <v>4156</v>
      </c>
      <c r="V36" t="s">
        <v>206</v>
      </c>
      <c r="W36">
        <v>215</v>
      </c>
      <c r="X36" t="s">
        <v>4193</v>
      </c>
      <c r="Y36" t="s">
        <v>4200</v>
      </c>
      <c r="Z36" t="s">
        <v>4245</v>
      </c>
      <c r="AA36" t="s">
        <v>5486</v>
      </c>
      <c r="AB36" t="s">
        <v>5669</v>
      </c>
      <c r="AC36">
        <v>48</v>
      </c>
      <c r="AD36" t="s">
        <v>6774</v>
      </c>
      <c r="AE36" t="s">
        <v>4200</v>
      </c>
      <c r="AF36">
        <v>4</v>
      </c>
      <c r="AG36">
        <v>1</v>
      </c>
      <c r="AH36">
        <v>0</v>
      </c>
      <c r="AI36">
        <v>0</v>
      </c>
      <c r="AL36" t="s">
        <v>6801</v>
      </c>
      <c r="AM36">
        <v>0</v>
      </c>
      <c r="AN36" t="s">
        <v>6823</v>
      </c>
    </row>
    <row r="37" spans="1:44">
      <c r="A37" s="1">
        <f>HYPERLINK("https://lsnyc.legalserver.org/matter/dynamic-profile/view/1906126","19-1906126")</f>
        <v>0</v>
      </c>
      <c r="B37" t="s">
        <v>57</v>
      </c>
      <c r="C37" t="s">
        <v>207</v>
      </c>
      <c r="D37" t="s">
        <v>224</v>
      </c>
      <c r="E37" t="s">
        <v>415</v>
      </c>
      <c r="F37" t="s">
        <v>1292</v>
      </c>
      <c r="G37" t="s">
        <v>2192</v>
      </c>
      <c r="H37">
        <v>4</v>
      </c>
      <c r="I37" t="s">
        <v>3490</v>
      </c>
      <c r="J37">
        <v>11233</v>
      </c>
      <c r="K37" t="s">
        <v>3522</v>
      </c>
      <c r="L37" t="s">
        <v>3525</v>
      </c>
      <c r="M37" t="s">
        <v>3554</v>
      </c>
      <c r="N37" t="s">
        <v>3554</v>
      </c>
      <c r="O37" t="s">
        <v>4132</v>
      </c>
      <c r="P37" t="s">
        <v>4139</v>
      </c>
      <c r="Q37" t="s">
        <v>4147</v>
      </c>
      <c r="R37" t="s">
        <v>3523</v>
      </c>
      <c r="T37" t="s">
        <v>4156</v>
      </c>
      <c r="V37" t="s">
        <v>188</v>
      </c>
      <c r="W37">
        <v>2500</v>
      </c>
      <c r="X37" t="s">
        <v>4193</v>
      </c>
      <c r="Z37" t="s">
        <v>4246</v>
      </c>
      <c r="AB37" t="s">
        <v>5670</v>
      </c>
      <c r="AC37">
        <v>8</v>
      </c>
      <c r="AF37">
        <v>1</v>
      </c>
      <c r="AG37">
        <v>1</v>
      </c>
      <c r="AH37">
        <v>0</v>
      </c>
      <c r="AI37">
        <v>0</v>
      </c>
      <c r="AL37" t="s">
        <v>6801</v>
      </c>
      <c r="AM37">
        <v>0</v>
      </c>
    </row>
    <row r="38" spans="1:44">
      <c r="A38" s="1">
        <f>HYPERLINK("https://lsnyc.legalserver.org/matter/dynamic-profile/view/1911764","19-1911764")</f>
        <v>0</v>
      </c>
      <c r="B38" t="s">
        <v>58</v>
      </c>
      <c r="C38" t="s">
        <v>194</v>
      </c>
      <c r="E38" t="s">
        <v>416</v>
      </c>
      <c r="F38" t="s">
        <v>1293</v>
      </c>
      <c r="G38" t="s">
        <v>2193</v>
      </c>
      <c r="H38" t="s">
        <v>3142</v>
      </c>
      <c r="I38" t="s">
        <v>3490</v>
      </c>
      <c r="J38">
        <v>11233</v>
      </c>
      <c r="K38" t="s">
        <v>3522</v>
      </c>
      <c r="L38" t="s">
        <v>3526</v>
      </c>
      <c r="M38" t="s">
        <v>3553</v>
      </c>
      <c r="N38" t="s">
        <v>3554</v>
      </c>
      <c r="O38" t="s">
        <v>4135</v>
      </c>
      <c r="Q38" t="s">
        <v>4147</v>
      </c>
      <c r="R38" t="s">
        <v>3522</v>
      </c>
      <c r="T38" t="s">
        <v>4156</v>
      </c>
      <c r="U38" t="s">
        <v>4168</v>
      </c>
      <c r="V38" t="s">
        <v>224</v>
      </c>
      <c r="W38">
        <v>1930</v>
      </c>
      <c r="X38" t="s">
        <v>4193</v>
      </c>
      <c r="Y38" t="s">
        <v>4201</v>
      </c>
      <c r="Z38" t="s">
        <v>4247</v>
      </c>
      <c r="AA38" t="s">
        <v>3562</v>
      </c>
      <c r="AB38" t="s">
        <v>5671</v>
      </c>
      <c r="AC38">
        <v>359</v>
      </c>
      <c r="AD38" t="s">
        <v>6772</v>
      </c>
      <c r="AE38" t="s">
        <v>3526</v>
      </c>
      <c r="AF38">
        <v>1</v>
      </c>
      <c r="AG38">
        <v>1</v>
      </c>
      <c r="AH38">
        <v>1</v>
      </c>
      <c r="AI38">
        <v>0</v>
      </c>
      <c r="AL38" t="s">
        <v>6801</v>
      </c>
      <c r="AM38">
        <v>0</v>
      </c>
    </row>
    <row r="39" spans="1:44">
      <c r="A39" s="1">
        <f>HYPERLINK("https://lsnyc.legalserver.org/matter/dynamic-profile/view/1916236","19-1916236")</f>
        <v>0</v>
      </c>
      <c r="B39" t="s">
        <v>59</v>
      </c>
      <c r="C39" t="s">
        <v>208</v>
      </c>
      <c r="E39" t="s">
        <v>417</v>
      </c>
      <c r="F39" t="s">
        <v>1294</v>
      </c>
      <c r="G39" t="s">
        <v>2194</v>
      </c>
      <c r="H39">
        <v>3</v>
      </c>
      <c r="I39" t="s">
        <v>3490</v>
      </c>
      <c r="J39">
        <v>11233</v>
      </c>
      <c r="K39" t="s">
        <v>3522</v>
      </c>
      <c r="L39" t="s">
        <v>3525</v>
      </c>
      <c r="M39" t="s">
        <v>3554</v>
      </c>
      <c r="N39" t="s">
        <v>3554</v>
      </c>
      <c r="O39" t="s">
        <v>4135</v>
      </c>
      <c r="Q39" t="s">
        <v>4147</v>
      </c>
      <c r="R39" t="s">
        <v>3523</v>
      </c>
      <c r="T39" t="s">
        <v>4156</v>
      </c>
      <c r="V39" t="s">
        <v>208</v>
      </c>
      <c r="W39">
        <v>1400</v>
      </c>
      <c r="X39" t="s">
        <v>4193</v>
      </c>
      <c r="Y39" t="s">
        <v>4201</v>
      </c>
      <c r="Z39" t="s">
        <v>4248</v>
      </c>
      <c r="AB39" t="s">
        <v>5672</v>
      </c>
      <c r="AC39">
        <v>3</v>
      </c>
      <c r="AD39" t="s">
        <v>6771</v>
      </c>
      <c r="AE39" t="s">
        <v>3526</v>
      </c>
      <c r="AF39">
        <v>4</v>
      </c>
      <c r="AG39">
        <v>2</v>
      </c>
      <c r="AH39">
        <v>3</v>
      </c>
      <c r="AI39">
        <v>0</v>
      </c>
      <c r="AL39" t="s">
        <v>6801</v>
      </c>
      <c r="AM39">
        <v>0</v>
      </c>
    </row>
    <row r="40" spans="1:44">
      <c r="A40" s="1">
        <f>HYPERLINK("https://lsnyc.legalserver.org/matter/dynamic-profile/view/1904189","19-1904189")</f>
        <v>0</v>
      </c>
      <c r="B40" t="s">
        <v>60</v>
      </c>
      <c r="C40" t="s">
        <v>209</v>
      </c>
      <c r="E40" t="s">
        <v>418</v>
      </c>
      <c r="F40" t="s">
        <v>1295</v>
      </c>
      <c r="G40" t="s">
        <v>2195</v>
      </c>
      <c r="H40" t="s">
        <v>3143</v>
      </c>
      <c r="I40" t="s">
        <v>3490</v>
      </c>
      <c r="J40">
        <v>11233</v>
      </c>
      <c r="K40" t="s">
        <v>3522</v>
      </c>
      <c r="L40" t="s">
        <v>3525</v>
      </c>
      <c r="M40" t="s">
        <v>3555</v>
      </c>
      <c r="N40" t="s">
        <v>4109</v>
      </c>
      <c r="O40" t="s">
        <v>4134</v>
      </c>
      <c r="Q40" t="s">
        <v>4147</v>
      </c>
      <c r="R40" t="s">
        <v>3523</v>
      </c>
      <c r="T40" t="s">
        <v>4156</v>
      </c>
      <c r="U40" t="s">
        <v>4168</v>
      </c>
      <c r="V40" t="s">
        <v>4175</v>
      </c>
      <c r="W40">
        <v>980</v>
      </c>
      <c r="X40" t="s">
        <v>4193</v>
      </c>
      <c r="Y40" t="s">
        <v>4202</v>
      </c>
      <c r="Z40" t="s">
        <v>4249</v>
      </c>
      <c r="AA40" t="s">
        <v>3562</v>
      </c>
      <c r="AB40" t="s">
        <v>5673</v>
      </c>
      <c r="AC40">
        <v>359</v>
      </c>
      <c r="AD40" t="s">
        <v>6772</v>
      </c>
      <c r="AE40" t="s">
        <v>6789</v>
      </c>
      <c r="AF40">
        <v>35</v>
      </c>
      <c r="AG40">
        <v>1</v>
      </c>
      <c r="AH40">
        <v>2</v>
      </c>
      <c r="AI40">
        <v>0</v>
      </c>
      <c r="AL40" t="s">
        <v>6801</v>
      </c>
      <c r="AM40">
        <v>0</v>
      </c>
    </row>
    <row r="41" spans="1:44">
      <c r="A41" s="1">
        <f>HYPERLINK("https://lsnyc.legalserver.org/matter/dynamic-profile/view/1907358","19-1907358")</f>
        <v>0</v>
      </c>
      <c r="B41" t="s">
        <v>55</v>
      </c>
      <c r="C41" t="s">
        <v>210</v>
      </c>
      <c r="E41" t="s">
        <v>419</v>
      </c>
      <c r="F41" t="s">
        <v>1296</v>
      </c>
      <c r="G41" t="s">
        <v>2196</v>
      </c>
      <c r="H41" t="s">
        <v>3144</v>
      </c>
      <c r="I41" t="s">
        <v>3490</v>
      </c>
      <c r="J41">
        <v>11233</v>
      </c>
      <c r="K41" t="s">
        <v>3522</v>
      </c>
      <c r="L41" t="s">
        <v>3525</v>
      </c>
      <c r="M41" t="s">
        <v>3556</v>
      </c>
      <c r="N41" t="s">
        <v>4109</v>
      </c>
      <c r="O41" t="s">
        <v>4134</v>
      </c>
      <c r="Q41" t="s">
        <v>4147</v>
      </c>
      <c r="R41" t="s">
        <v>3523</v>
      </c>
      <c r="T41" t="s">
        <v>4156</v>
      </c>
      <c r="U41" t="s">
        <v>4167</v>
      </c>
      <c r="V41" t="s">
        <v>185</v>
      </c>
      <c r="W41">
        <v>1542</v>
      </c>
      <c r="X41" t="s">
        <v>4193</v>
      </c>
      <c r="Y41" t="s">
        <v>4200</v>
      </c>
      <c r="Z41" t="s">
        <v>4250</v>
      </c>
      <c r="AB41" t="s">
        <v>5674</v>
      </c>
      <c r="AC41">
        <v>287</v>
      </c>
      <c r="AD41" t="s">
        <v>6775</v>
      </c>
      <c r="AE41" t="s">
        <v>3526</v>
      </c>
      <c r="AF41">
        <v>4</v>
      </c>
      <c r="AG41">
        <v>1</v>
      </c>
      <c r="AH41">
        <v>2</v>
      </c>
      <c r="AI41">
        <v>0</v>
      </c>
      <c r="AL41" t="s">
        <v>6801</v>
      </c>
      <c r="AM41">
        <v>0</v>
      </c>
    </row>
    <row r="42" spans="1:44">
      <c r="A42" s="1">
        <f>HYPERLINK("https://lsnyc.legalserver.org/matter/dynamic-profile/view/1907517","19-1907517")</f>
        <v>0</v>
      </c>
      <c r="B42" t="s">
        <v>60</v>
      </c>
      <c r="C42" t="s">
        <v>185</v>
      </c>
      <c r="D42" t="s">
        <v>237</v>
      </c>
      <c r="E42" t="s">
        <v>420</v>
      </c>
      <c r="F42" t="s">
        <v>1297</v>
      </c>
      <c r="G42" t="s">
        <v>2195</v>
      </c>
      <c r="H42" t="s">
        <v>3145</v>
      </c>
      <c r="I42" t="s">
        <v>3490</v>
      </c>
      <c r="J42">
        <v>11233</v>
      </c>
      <c r="K42" t="s">
        <v>3522</v>
      </c>
      <c r="L42" t="s">
        <v>3525</v>
      </c>
      <c r="M42" t="s">
        <v>3557</v>
      </c>
      <c r="N42" t="s">
        <v>4109</v>
      </c>
      <c r="O42" t="s">
        <v>4134</v>
      </c>
      <c r="P42" t="s">
        <v>4141</v>
      </c>
      <c r="Q42" t="s">
        <v>4147</v>
      </c>
      <c r="R42" t="s">
        <v>3523</v>
      </c>
      <c r="T42" t="s">
        <v>4156</v>
      </c>
      <c r="U42" t="s">
        <v>4168</v>
      </c>
      <c r="V42" t="s">
        <v>185</v>
      </c>
      <c r="W42">
        <v>997.45</v>
      </c>
      <c r="X42" t="s">
        <v>4193</v>
      </c>
      <c r="Y42" t="s">
        <v>4200</v>
      </c>
      <c r="Z42" t="s">
        <v>4251</v>
      </c>
      <c r="AA42" t="s">
        <v>5487</v>
      </c>
      <c r="AC42">
        <v>359</v>
      </c>
      <c r="AD42" t="s">
        <v>6772</v>
      </c>
      <c r="AE42" t="s">
        <v>3526</v>
      </c>
      <c r="AF42">
        <v>9</v>
      </c>
      <c r="AG42">
        <v>3</v>
      </c>
      <c r="AH42">
        <v>0</v>
      </c>
      <c r="AI42">
        <v>0</v>
      </c>
      <c r="AL42" t="s">
        <v>6801</v>
      </c>
      <c r="AM42">
        <v>0</v>
      </c>
      <c r="AQ42" t="s">
        <v>6945</v>
      </c>
      <c r="AR42" t="s">
        <v>6950</v>
      </c>
    </row>
    <row r="43" spans="1:44">
      <c r="A43" s="1">
        <f>HYPERLINK("https://lsnyc.legalserver.org/matter/dynamic-profile/view/1908279","19-1908279")</f>
        <v>0</v>
      </c>
      <c r="B43" t="s">
        <v>61</v>
      </c>
      <c r="C43" t="s">
        <v>211</v>
      </c>
      <c r="D43" t="s">
        <v>380</v>
      </c>
      <c r="E43" t="s">
        <v>421</v>
      </c>
      <c r="F43" t="s">
        <v>435</v>
      </c>
      <c r="G43" t="s">
        <v>2197</v>
      </c>
      <c r="H43" t="s">
        <v>3131</v>
      </c>
      <c r="I43" t="s">
        <v>3490</v>
      </c>
      <c r="J43">
        <v>11233</v>
      </c>
      <c r="K43" t="s">
        <v>3522</v>
      </c>
      <c r="L43" t="s">
        <v>3525</v>
      </c>
      <c r="M43" t="s">
        <v>3558</v>
      </c>
      <c r="N43" t="s">
        <v>4109</v>
      </c>
      <c r="O43" t="s">
        <v>4134</v>
      </c>
      <c r="P43" t="s">
        <v>4140</v>
      </c>
      <c r="Q43" t="s">
        <v>4147</v>
      </c>
      <c r="R43" t="s">
        <v>3523</v>
      </c>
      <c r="T43" t="s">
        <v>4156</v>
      </c>
      <c r="U43" t="s">
        <v>4171</v>
      </c>
      <c r="V43" t="s">
        <v>373</v>
      </c>
      <c r="W43">
        <v>1045.5</v>
      </c>
      <c r="X43" t="s">
        <v>4193</v>
      </c>
      <c r="Y43" t="s">
        <v>4203</v>
      </c>
      <c r="Z43" t="s">
        <v>4252</v>
      </c>
      <c r="AA43" t="s">
        <v>5488</v>
      </c>
      <c r="AB43" t="s">
        <v>5675</v>
      </c>
      <c r="AC43">
        <v>110</v>
      </c>
      <c r="AD43" t="s">
        <v>5524</v>
      </c>
      <c r="AE43" t="s">
        <v>4200</v>
      </c>
      <c r="AF43">
        <v>3</v>
      </c>
      <c r="AG43">
        <v>1</v>
      </c>
      <c r="AH43">
        <v>2</v>
      </c>
      <c r="AI43">
        <v>0</v>
      </c>
      <c r="AL43" t="s">
        <v>6801</v>
      </c>
      <c r="AM43">
        <v>0</v>
      </c>
      <c r="AO43" t="s">
        <v>6916</v>
      </c>
      <c r="AP43" t="s">
        <v>6924</v>
      </c>
      <c r="AQ43" t="s">
        <v>6945</v>
      </c>
      <c r="AR43" t="s">
        <v>6951</v>
      </c>
    </row>
    <row r="44" spans="1:44">
      <c r="A44" s="1">
        <f>HYPERLINK("https://lsnyc.legalserver.org/matter/dynamic-profile/view/1911205","19-1911205")</f>
        <v>0</v>
      </c>
      <c r="B44" t="s">
        <v>62</v>
      </c>
      <c r="C44" t="s">
        <v>212</v>
      </c>
      <c r="D44" t="s">
        <v>190</v>
      </c>
      <c r="E44" t="s">
        <v>422</v>
      </c>
      <c r="F44" t="s">
        <v>1298</v>
      </c>
      <c r="G44" t="s">
        <v>2198</v>
      </c>
      <c r="I44" t="s">
        <v>3490</v>
      </c>
      <c r="J44">
        <v>11233</v>
      </c>
      <c r="K44" t="s">
        <v>3522</v>
      </c>
      <c r="L44" t="s">
        <v>3525</v>
      </c>
      <c r="M44" t="s">
        <v>3559</v>
      </c>
      <c r="N44" t="s">
        <v>4109</v>
      </c>
      <c r="O44" t="s">
        <v>4132</v>
      </c>
      <c r="P44" t="s">
        <v>4139</v>
      </c>
      <c r="Q44" t="s">
        <v>4147</v>
      </c>
      <c r="T44" t="s">
        <v>4156</v>
      </c>
      <c r="V44" t="s">
        <v>212</v>
      </c>
      <c r="W44">
        <v>0</v>
      </c>
      <c r="X44" t="s">
        <v>4193</v>
      </c>
      <c r="Y44" t="s">
        <v>4204</v>
      </c>
      <c r="Z44" t="s">
        <v>4253</v>
      </c>
      <c r="AB44" t="s">
        <v>5676</v>
      </c>
      <c r="AC44">
        <v>0</v>
      </c>
      <c r="AF44">
        <v>0</v>
      </c>
      <c r="AG44">
        <v>1</v>
      </c>
      <c r="AH44">
        <v>2</v>
      </c>
      <c r="AI44">
        <v>0</v>
      </c>
      <c r="AL44" t="s">
        <v>6801</v>
      </c>
      <c r="AM44">
        <v>0</v>
      </c>
    </row>
    <row r="45" spans="1:44">
      <c r="A45" s="1">
        <f>HYPERLINK("https://lsnyc.legalserver.org/matter/dynamic-profile/view/1916597","19-1916597")</f>
        <v>0</v>
      </c>
      <c r="B45" t="s">
        <v>63</v>
      </c>
      <c r="C45" t="s">
        <v>213</v>
      </c>
      <c r="E45" t="s">
        <v>423</v>
      </c>
      <c r="F45" t="s">
        <v>1299</v>
      </c>
      <c r="G45" t="s">
        <v>2199</v>
      </c>
      <c r="H45" t="s">
        <v>3131</v>
      </c>
      <c r="I45" t="s">
        <v>3490</v>
      </c>
      <c r="J45">
        <v>11233</v>
      </c>
      <c r="K45" t="s">
        <v>3522</v>
      </c>
      <c r="L45" t="s">
        <v>3525</v>
      </c>
      <c r="M45" t="s">
        <v>3560</v>
      </c>
      <c r="N45" t="s">
        <v>4109</v>
      </c>
      <c r="Q45" t="s">
        <v>4147</v>
      </c>
      <c r="R45" t="s">
        <v>3523</v>
      </c>
      <c r="T45" t="s">
        <v>4156</v>
      </c>
      <c r="V45" t="s">
        <v>265</v>
      </c>
      <c r="W45">
        <v>651</v>
      </c>
      <c r="X45" t="s">
        <v>4193</v>
      </c>
      <c r="Y45" t="s">
        <v>4201</v>
      </c>
      <c r="Z45" t="s">
        <v>4254</v>
      </c>
      <c r="AB45" t="s">
        <v>5677</v>
      </c>
      <c r="AC45">
        <v>359</v>
      </c>
      <c r="AD45" t="s">
        <v>6772</v>
      </c>
      <c r="AE45" t="s">
        <v>3526</v>
      </c>
      <c r="AF45">
        <v>40</v>
      </c>
      <c r="AG45">
        <v>1</v>
      </c>
      <c r="AH45">
        <v>2</v>
      </c>
      <c r="AI45">
        <v>0</v>
      </c>
      <c r="AL45" t="s">
        <v>6802</v>
      </c>
      <c r="AM45">
        <v>0</v>
      </c>
    </row>
    <row r="46" spans="1:44">
      <c r="A46" s="1">
        <f>HYPERLINK("https://lsnyc.legalserver.org/matter/dynamic-profile/view/1911716","19-1911716")</f>
        <v>0</v>
      </c>
      <c r="B46" t="s">
        <v>57</v>
      </c>
      <c r="C46" t="s">
        <v>194</v>
      </c>
      <c r="D46" t="s">
        <v>238</v>
      </c>
      <c r="E46" t="s">
        <v>424</v>
      </c>
      <c r="F46" t="s">
        <v>1300</v>
      </c>
      <c r="G46" t="s">
        <v>2200</v>
      </c>
      <c r="H46">
        <v>7</v>
      </c>
      <c r="I46" t="s">
        <v>3490</v>
      </c>
      <c r="J46">
        <v>11233</v>
      </c>
      <c r="K46" t="s">
        <v>3522</v>
      </c>
      <c r="L46" t="s">
        <v>3525</v>
      </c>
      <c r="M46" t="s">
        <v>3554</v>
      </c>
      <c r="N46" t="s">
        <v>4111</v>
      </c>
      <c r="O46" t="s">
        <v>4132</v>
      </c>
      <c r="P46" t="s">
        <v>4139</v>
      </c>
      <c r="Q46" t="s">
        <v>4147</v>
      </c>
      <c r="R46" t="s">
        <v>3523</v>
      </c>
      <c r="T46" t="s">
        <v>4158</v>
      </c>
      <c r="V46" t="s">
        <v>178</v>
      </c>
      <c r="W46">
        <v>871</v>
      </c>
      <c r="X46" t="s">
        <v>4193</v>
      </c>
      <c r="Y46" t="s">
        <v>4200</v>
      </c>
      <c r="Z46" t="s">
        <v>4255</v>
      </c>
      <c r="AB46" t="s">
        <v>5678</v>
      </c>
      <c r="AC46">
        <v>8</v>
      </c>
      <c r="AD46" t="s">
        <v>6772</v>
      </c>
      <c r="AE46" t="s">
        <v>6786</v>
      </c>
      <c r="AF46">
        <v>0</v>
      </c>
      <c r="AG46">
        <v>2</v>
      </c>
      <c r="AH46">
        <v>0</v>
      </c>
      <c r="AI46">
        <v>0</v>
      </c>
      <c r="AL46" t="s">
        <v>6801</v>
      </c>
      <c r="AM46">
        <v>0</v>
      </c>
    </row>
    <row r="47" spans="1:44">
      <c r="A47" s="1">
        <f>HYPERLINK("https://lsnyc.legalserver.org/matter/dynamic-profile/view/1906163","19-1906163")</f>
        <v>0</v>
      </c>
      <c r="B47" t="s">
        <v>52</v>
      </c>
      <c r="C47" t="s">
        <v>188</v>
      </c>
      <c r="E47" t="s">
        <v>414</v>
      </c>
      <c r="F47" t="s">
        <v>1301</v>
      </c>
      <c r="G47" t="s">
        <v>2201</v>
      </c>
      <c r="H47" t="s">
        <v>3146</v>
      </c>
      <c r="I47" t="s">
        <v>3490</v>
      </c>
      <c r="J47">
        <v>11232</v>
      </c>
      <c r="K47" t="s">
        <v>3522</v>
      </c>
      <c r="L47" t="s">
        <v>3525</v>
      </c>
      <c r="M47" t="s">
        <v>3561</v>
      </c>
      <c r="N47" t="s">
        <v>4107</v>
      </c>
      <c r="O47" t="s">
        <v>4132</v>
      </c>
      <c r="Q47" t="s">
        <v>4147</v>
      </c>
      <c r="R47" t="s">
        <v>3523</v>
      </c>
      <c r="T47" t="s">
        <v>4156</v>
      </c>
      <c r="U47" t="s">
        <v>4168</v>
      </c>
      <c r="V47" t="s">
        <v>207</v>
      </c>
      <c r="W47">
        <v>600</v>
      </c>
      <c r="X47" t="s">
        <v>4193</v>
      </c>
      <c r="Y47" t="s">
        <v>4197</v>
      </c>
      <c r="Z47" t="s">
        <v>4256</v>
      </c>
      <c r="AA47" t="s">
        <v>3526</v>
      </c>
      <c r="AB47" t="s">
        <v>5679</v>
      </c>
      <c r="AC47">
        <v>6</v>
      </c>
      <c r="AD47" t="s">
        <v>5524</v>
      </c>
      <c r="AE47" t="s">
        <v>3526</v>
      </c>
      <c r="AF47">
        <v>22</v>
      </c>
      <c r="AG47">
        <v>1</v>
      </c>
      <c r="AH47">
        <v>0</v>
      </c>
      <c r="AI47">
        <v>0</v>
      </c>
      <c r="AL47" t="s">
        <v>6801</v>
      </c>
      <c r="AM47">
        <v>0</v>
      </c>
    </row>
    <row r="48" spans="1:44">
      <c r="A48" s="1">
        <f>HYPERLINK("https://lsnyc.legalserver.org/matter/dynamic-profile/view/1910440","19-1910440")</f>
        <v>0</v>
      </c>
      <c r="B48" t="s">
        <v>64</v>
      </c>
      <c r="C48" t="s">
        <v>214</v>
      </c>
      <c r="E48" t="s">
        <v>425</v>
      </c>
      <c r="F48" t="s">
        <v>1137</v>
      </c>
      <c r="G48" t="s">
        <v>2202</v>
      </c>
      <c r="H48" t="s">
        <v>3147</v>
      </c>
      <c r="I48" t="s">
        <v>3490</v>
      </c>
      <c r="J48">
        <v>11231</v>
      </c>
      <c r="K48" t="s">
        <v>3522</v>
      </c>
      <c r="N48" t="s">
        <v>4112</v>
      </c>
      <c r="O48" t="s">
        <v>4133</v>
      </c>
      <c r="Q48" t="s">
        <v>4147</v>
      </c>
      <c r="T48" t="s">
        <v>4156</v>
      </c>
      <c r="V48" t="s">
        <v>230</v>
      </c>
      <c r="W48">
        <v>0</v>
      </c>
      <c r="X48" t="s">
        <v>4193</v>
      </c>
      <c r="Z48" t="s">
        <v>4257</v>
      </c>
      <c r="AA48" t="s">
        <v>5489</v>
      </c>
      <c r="AB48" t="s">
        <v>5680</v>
      </c>
      <c r="AC48">
        <v>10</v>
      </c>
      <c r="AF48">
        <v>0</v>
      </c>
      <c r="AG48">
        <v>4</v>
      </c>
      <c r="AH48">
        <v>1</v>
      </c>
      <c r="AI48">
        <v>0</v>
      </c>
      <c r="AL48" t="s">
        <v>6801</v>
      </c>
      <c r="AM48">
        <v>0</v>
      </c>
    </row>
    <row r="49" spans="1:44">
      <c r="A49" s="1">
        <f>HYPERLINK("https://lsnyc.legalserver.org/matter/dynamic-profile/view/1917281","19-1917281")</f>
        <v>0</v>
      </c>
      <c r="B49" t="s">
        <v>53</v>
      </c>
      <c r="C49" t="s">
        <v>181</v>
      </c>
      <c r="E49" t="s">
        <v>426</v>
      </c>
      <c r="F49" t="s">
        <v>1302</v>
      </c>
      <c r="I49" t="s">
        <v>3490</v>
      </c>
      <c r="J49">
        <v>11230</v>
      </c>
      <c r="K49" t="s">
        <v>3522</v>
      </c>
      <c r="O49" t="s">
        <v>4136</v>
      </c>
      <c r="Q49" t="s">
        <v>4147</v>
      </c>
      <c r="R49" t="s">
        <v>3523</v>
      </c>
      <c r="T49" t="s">
        <v>4156</v>
      </c>
      <c r="U49" t="s">
        <v>4171</v>
      </c>
      <c r="V49" t="s">
        <v>242</v>
      </c>
      <c r="W49">
        <v>791</v>
      </c>
      <c r="X49" t="s">
        <v>4193</v>
      </c>
      <c r="Y49" t="s">
        <v>4205</v>
      </c>
      <c r="AC49">
        <v>0</v>
      </c>
      <c r="AD49" t="s">
        <v>6774</v>
      </c>
      <c r="AE49" t="s">
        <v>4200</v>
      </c>
      <c r="AF49">
        <v>20</v>
      </c>
      <c r="AG49">
        <v>2</v>
      </c>
      <c r="AH49">
        <v>0</v>
      </c>
      <c r="AI49">
        <v>0</v>
      </c>
      <c r="AL49" t="s">
        <v>6801</v>
      </c>
      <c r="AM49">
        <v>0</v>
      </c>
    </row>
    <row r="50" spans="1:44">
      <c r="A50" s="1">
        <f>HYPERLINK("https://lsnyc.legalserver.org/matter/dynamic-profile/view/1910612","19-1910612")</f>
        <v>0</v>
      </c>
      <c r="B50" t="s">
        <v>52</v>
      </c>
      <c r="C50" t="s">
        <v>177</v>
      </c>
      <c r="E50" t="s">
        <v>427</v>
      </c>
      <c r="F50" t="s">
        <v>429</v>
      </c>
      <c r="G50" t="s">
        <v>2203</v>
      </c>
      <c r="H50" t="s">
        <v>3148</v>
      </c>
      <c r="I50" t="s">
        <v>3490</v>
      </c>
      <c r="J50">
        <v>11226</v>
      </c>
      <c r="K50" t="s">
        <v>3522</v>
      </c>
      <c r="N50" t="s">
        <v>4108</v>
      </c>
      <c r="O50" t="s">
        <v>4134</v>
      </c>
      <c r="Q50" t="s">
        <v>4147</v>
      </c>
      <c r="R50" t="s">
        <v>3522</v>
      </c>
      <c r="T50" t="s">
        <v>4156</v>
      </c>
      <c r="U50" t="s">
        <v>4168</v>
      </c>
      <c r="V50" t="s">
        <v>177</v>
      </c>
      <c r="W50">
        <v>820</v>
      </c>
      <c r="X50" t="s">
        <v>4193</v>
      </c>
      <c r="Y50" t="s">
        <v>4206</v>
      </c>
      <c r="AC50">
        <v>16</v>
      </c>
      <c r="AD50" t="s">
        <v>6772</v>
      </c>
      <c r="AF50">
        <v>15</v>
      </c>
      <c r="AG50">
        <v>1</v>
      </c>
      <c r="AH50">
        <v>0</v>
      </c>
      <c r="AI50">
        <v>0</v>
      </c>
      <c r="AL50" t="s">
        <v>6801</v>
      </c>
      <c r="AM50">
        <v>0</v>
      </c>
    </row>
    <row r="51" spans="1:44">
      <c r="A51" s="1">
        <f>HYPERLINK("https://lsnyc.legalserver.org/matter/dynamic-profile/view/1910619","19-1910619")</f>
        <v>0</v>
      </c>
      <c r="B51" t="s">
        <v>52</v>
      </c>
      <c r="C51" t="s">
        <v>177</v>
      </c>
      <c r="E51" t="s">
        <v>428</v>
      </c>
      <c r="F51" t="s">
        <v>1303</v>
      </c>
      <c r="G51" t="s">
        <v>2203</v>
      </c>
      <c r="H51" t="s">
        <v>3149</v>
      </c>
      <c r="I51" t="s">
        <v>3490</v>
      </c>
      <c r="J51">
        <v>11226</v>
      </c>
      <c r="K51" t="s">
        <v>3522</v>
      </c>
      <c r="N51" t="s">
        <v>4108</v>
      </c>
      <c r="O51" t="s">
        <v>4134</v>
      </c>
      <c r="Q51" t="s">
        <v>4147</v>
      </c>
      <c r="R51" t="s">
        <v>3522</v>
      </c>
      <c r="T51" t="s">
        <v>4156</v>
      </c>
      <c r="U51" t="s">
        <v>4168</v>
      </c>
      <c r="V51" t="s">
        <v>177</v>
      </c>
      <c r="W51">
        <v>1375</v>
      </c>
      <c r="X51" t="s">
        <v>4193</v>
      </c>
      <c r="Y51" t="s">
        <v>4206</v>
      </c>
      <c r="Z51" t="s">
        <v>4258</v>
      </c>
      <c r="AA51" t="s">
        <v>5490</v>
      </c>
      <c r="AB51" t="s">
        <v>5681</v>
      </c>
      <c r="AC51">
        <v>16</v>
      </c>
      <c r="AD51" t="s">
        <v>6772</v>
      </c>
      <c r="AE51" t="s">
        <v>6790</v>
      </c>
      <c r="AF51">
        <v>9</v>
      </c>
      <c r="AG51">
        <v>1</v>
      </c>
      <c r="AH51">
        <v>0</v>
      </c>
      <c r="AI51">
        <v>0</v>
      </c>
      <c r="AL51" t="s">
        <v>6801</v>
      </c>
      <c r="AM51">
        <v>0</v>
      </c>
    </row>
    <row r="52" spans="1:44">
      <c r="A52" s="1">
        <f>HYPERLINK("https://lsnyc.legalserver.org/matter/dynamic-profile/view/1911522","19-1911522")</f>
        <v>0</v>
      </c>
      <c r="B52" t="s">
        <v>52</v>
      </c>
      <c r="C52" t="s">
        <v>215</v>
      </c>
      <c r="E52" t="s">
        <v>428</v>
      </c>
      <c r="F52" t="s">
        <v>1303</v>
      </c>
      <c r="G52" t="s">
        <v>2203</v>
      </c>
      <c r="H52" t="s">
        <v>3149</v>
      </c>
      <c r="I52" t="s">
        <v>3490</v>
      </c>
      <c r="J52">
        <v>11226</v>
      </c>
      <c r="K52" t="s">
        <v>3522</v>
      </c>
      <c r="L52" t="s">
        <v>3525</v>
      </c>
      <c r="O52" t="s">
        <v>4134</v>
      </c>
      <c r="Q52" t="s">
        <v>4147</v>
      </c>
      <c r="T52" t="s">
        <v>4156</v>
      </c>
      <c r="V52" t="s">
        <v>313</v>
      </c>
      <c r="W52">
        <v>0</v>
      </c>
      <c r="X52" t="s">
        <v>4193</v>
      </c>
      <c r="Z52" t="s">
        <v>4258</v>
      </c>
      <c r="AA52" t="s">
        <v>5491</v>
      </c>
      <c r="AB52" t="s">
        <v>5681</v>
      </c>
      <c r="AC52">
        <v>16</v>
      </c>
      <c r="AD52" t="s">
        <v>6772</v>
      </c>
      <c r="AF52">
        <v>0</v>
      </c>
      <c r="AG52">
        <v>1</v>
      </c>
      <c r="AH52">
        <v>0</v>
      </c>
      <c r="AI52">
        <v>0</v>
      </c>
      <c r="AL52" t="s">
        <v>6801</v>
      </c>
      <c r="AM52">
        <v>0</v>
      </c>
    </row>
    <row r="53" spans="1:44">
      <c r="A53" s="1">
        <f>HYPERLINK("https://lsnyc.legalserver.org/matter/dynamic-profile/view/1911770","19-1911770")</f>
        <v>0</v>
      </c>
      <c r="B53" t="s">
        <v>52</v>
      </c>
      <c r="C53" t="s">
        <v>194</v>
      </c>
      <c r="E53" t="s">
        <v>427</v>
      </c>
      <c r="F53" t="s">
        <v>429</v>
      </c>
      <c r="G53" t="s">
        <v>2203</v>
      </c>
      <c r="H53">
        <v>1</v>
      </c>
      <c r="I53" t="s">
        <v>3490</v>
      </c>
      <c r="J53">
        <v>11226</v>
      </c>
      <c r="K53" t="s">
        <v>3522</v>
      </c>
      <c r="L53" t="s">
        <v>3525</v>
      </c>
      <c r="O53" t="s">
        <v>4134</v>
      </c>
      <c r="Q53" t="s">
        <v>4147</v>
      </c>
      <c r="T53" t="s">
        <v>4156</v>
      </c>
      <c r="V53" t="s">
        <v>313</v>
      </c>
      <c r="W53">
        <v>0</v>
      </c>
      <c r="X53" t="s">
        <v>4193</v>
      </c>
      <c r="AC53">
        <v>16</v>
      </c>
      <c r="AD53" t="s">
        <v>6772</v>
      </c>
      <c r="AF53">
        <v>0</v>
      </c>
      <c r="AG53">
        <v>1</v>
      </c>
      <c r="AH53">
        <v>0</v>
      </c>
      <c r="AI53">
        <v>0</v>
      </c>
      <c r="AL53" t="s">
        <v>6801</v>
      </c>
      <c r="AM53">
        <v>0</v>
      </c>
      <c r="AN53" t="s">
        <v>6824</v>
      </c>
    </row>
    <row r="54" spans="1:44">
      <c r="A54" s="1">
        <f>HYPERLINK("https://lsnyc.legalserver.org/matter/dynamic-profile/view/1907514","19-1907514")</f>
        <v>0</v>
      </c>
      <c r="B54" t="s">
        <v>65</v>
      </c>
      <c r="C54" t="s">
        <v>185</v>
      </c>
      <c r="E54" t="s">
        <v>429</v>
      </c>
      <c r="F54" t="s">
        <v>1304</v>
      </c>
      <c r="G54" t="s">
        <v>2204</v>
      </c>
      <c r="H54" t="s">
        <v>3150</v>
      </c>
      <c r="I54" t="s">
        <v>3490</v>
      </c>
      <c r="J54">
        <v>11225</v>
      </c>
      <c r="K54" t="s">
        <v>3522</v>
      </c>
      <c r="L54" t="s">
        <v>3525</v>
      </c>
      <c r="N54" t="s">
        <v>4112</v>
      </c>
      <c r="O54" t="s">
        <v>4133</v>
      </c>
      <c r="Q54" t="s">
        <v>4147</v>
      </c>
      <c r="R54" t="s">
        <v>3522</v>
      </c>
      <c r="S54" t="s">
        <v>4149</v>
      </c>
      <c r="T54" t="s">
        <v>4156</v>
      </c>
      <c r="V54" t="s">
        <v>185</v>
      </c>
      <c r="W54">
        <v>0</v>
      </c>
      <c r="X54" t="s">
        <v>4193</v>
      </c>
      <c r="Z54" t="s">
        <v>4259</v>
      </c>
      <c r="AC54">
        <v>46</v>
      </c>
      <c r="AF54">
        <v>0</v>
      </c>
      <c r="AG54">
        <v>3</v>
      </c>
      <c r="AH54">
        <v>2</v>
      </c>
      <c r="AI54">
        <v>0</v>
      </c>
      <c r="AL54" t="s">
        <v>6801</v>
      </c>
      <c r="AM54">
        <v>0</v>
      </c>
    </row>
    <row r="55" spans="1:44">
      <c r="A55" s="1">
        <f>HYPERLINK("https://lsnyc.legalserver.org/matter/dynamic-profile/view/1907437","19-1907437")</f>
        <v>0</v>
      </c>
      <c r="B55" t="s">
        <v>61</v>
      </c>
      <c r="C55" t="s">
        <v>185</v>
      </c>
      <c r="D55" t="s">
        <v>197</v>
      </c>
      <c r="E55" t="s">
        <v>430</v>
      </c>
      <c r="F55" t="s">
        <v>1305</v>
      </c>
      <c r="G55" t="s">
        <v>2205</v>
      </c>
      <c r="H55" t="s">
        <v>3151</v>
      </c>
      <c r="I55" t="s">
        <v>3490</v>
      </c>
      <c r="J55">
        <v>11222</v>
      </c>
      <c r="K55" t="s">
        <v>3522</v>
      </c>
      <c r="L55" t="s">
        <v>3527</v>
      </c>
      <c r="M55" t="s">
        <v>3562</v>
      </c>
      <c r="N55" t="s">
        <v>4108</v>
      </c>
      <c r="O55" t="s">
        <v>4132</v>
      </c>
      <c r="P55" t="s">
        <v>4139</v>
      </c>
      <c r="Q55" t="s">
        <v>4147</v>
      </c>
      <c r="R55" t="s">
        <v>3523</v>
      </c>
      <c r="T55" t="s">
        <v>4156</v>
      </c>
      <c r="U55" t="s">
        <v>4168</v>
      </c>
      <c r="V55" t="s">
        <v>234</v>
      </c>
      <c r="W55">
        <v>2400</v>
      </c>
      <c r="X55" t="s">
        <v>4193</v>
      </c>
      <c r="Y55" t="s">
        <v>4200</v>
      </c>
      <c r="Z55" t="s">
        <v>4260</v>
      </c>
      <c r="AA55" t="s">
        <v>3562</v>
      </c>
      <c r="AB55" t="s">
        <v>5682</v>
      </c>
      <c r="AC55">
        <v>4</v>
      </c>
      <c r="AD55" t="s">
        <v>6772</v>
      </c>
      <c r="AE55" t="s">
        <v>3526</v>
      </c>
      <c r="AF55">
        <v>10</v>
      </c>
      <c r="AG55">
        <v>1</v>
      </c>
      <c r="AH55">
        <v>0</v>
      </c>
      <c r="AI55">
        <v>0</v>
      </c>
      <c r="AL55" t="s">
        <v>6801</v>
      </c>
      <c r="AM55">
        <v>0</v>
      </c>
    </row>
    <row r="56" spans="1:44">
      <c r="A56" s="1">
        <f>HYPERLINK("https://lsnyc.legalserver.org/matter/dynamic-profile/view/1904324","19-1904324")</f>
        <v>0</v>
      </c>
      <c r="B56" t="s">
        <v>65</v>
      </c>
      <c r="C56" t="s">
        <v>179</v>
      </c>
      <c r="E56" t="s">
        <v>431</v>
      </c>
      <c r="F56" t="s">
        <v>1306</v>
      </c>
      <c r="G56" t="s">
        <v>2206</v>
      </c>
      <c r="H56" t="s">
        <v>3152</v>
      </c>
      <c r="I56" t="s">
        <v>3490</v>
      </c>
      <c r="J56">
        <v>11221</v>
      </c>
      <c r="K56" t="s">
        <v>3522</v>
      </c>
      <c r="N56" t="s">
        <v>4112</v>
      </c>
      <c r="O56" t="s">
        <v>4133</v>
      </c>
      <c r="Q56" t="s">
        <v>4147</v>
      </c>
      <c r="R56" t="s">
        <v>3522</v>
      </c>
      <c r="S56" t="s">
        <v>4149</v>
      </c>
      <c r="T56" t="s">
        <v>4156</v>
      </c>
      <c r="V56" t="s">
        <v>179</v>
      </c>
      <c r="W56">
        <v>0</v>
      </c>
      <c r="X56" t="s">
        <v>4193</v>
      </c>
      <c r="Z56" t="s">
        <v>4261</v>
      </c>
      <c r="AC56">
        <v>2</v>
      </c>
      <c r="AF56">
        <v>0</v>
      </c>
      <c r="AG56">
        <v>1</v>
      </c>
      <c r="AH56">
        <v>0</v>
      </c>
      <c r="AI56">
        <v>0</v>
      </c>
      <c r="AL56" t="s">
        <v>6801</v>
      </c>
      <c r="AM56">
        <v>0</v>
      </c>
    </row>
    <row r="57" spans="1:44">
      <c r="A57" s="1">
        <f>HYPERLINK("https://lsnyc.legalserver.org/matter/dynamic-profile/view/1905064","19-1905064")</f>
        <v>0</v>
      </c>
      <c r="B57" t="s">
        <v>65</v>
      </c>
      <c r="C57" t="s">
        <v>216</v>
      </c>
      <c r="E57" t="s">
        <v>432</v>
      </c>
      <c r="F57" t="s">
        <v>1307</v>
      </c>
      <c r="G57" t="s">
        <v>2206</v>
      </c>
      <c r="H57">
        <v>1</v>
      </c>
      <c r="I57" t="s">
        <v>3490</v>
      </c>
      <c r="J57">
        <v>11221</v>
      </c>
      <c r="K57" t="s">
        <v>3522</v>
      </c>
      <c r="N57" t="s">
        <v>4112</v>
      </c>
      <c r="O57" t="s">
        <v>4133</v>
      </c>
      <c r="Q57" t="s">
        <v>4147</v>
      </c>
      <c r="R57" t="s">
        <v>3522</v>
      </c>
      <c r="T57" t="s">
        <v>4156</v>
      </c>
      <c r="V57" t="s">
        <v>336</v>
      </c>
      <c r="W57">
        <v>0</v>
      </c>
      <c r="X57" t="s">
        <v>4193</v>
      </c>
      <c r="Z57" t="s">
        <v>4262</v>
      </c>
      <c r="AB57" t="s">
        <v>5683</v>
      </c>
      <c r="AC57">
        <v>2</v>
      </c>
      <c r="AF57">
        <v>0</v>
      </c>
      <c r="AG57">
        <v>1</v>
      </c>
      <c r="AH57">
        <v>0</v>
      </c>
      <c r="AI57">
        <v>0</v>
      </c>
      <c r="AL57" t="s">
        <v>6801</v>
      </c>
      <c r="AM57">
        <v>0</v>
      </c>
    </row>
    <row r="58" spans="1:44">
      <c r="A58" s="1">
        <f>HYPERLINK("https://lsnyc.legalserver.org/matter/dynamic-profile/view/1906538","19-1906538")</f>
        <v>0</v>
      </c>
      <c r="B58" t="s">
        <v>61</v>
      </c>
      <c r="C58" t="s">
        <v>217</v>
      </c>
      <c r="D58" t="s">
        <v>287</v>
      </c>
      <c r="E58" t="s">
        <v>433</v>
      </c>
      <c r="F58" t="s">
        <v>1308</v>
      </c>
      <c r="G58" t="s">
        <v>2207</v>
      </c>
      <c r="H58" t="s">
        <v>3153</v>
      </c>
      <c r="I58" t="s">
        <v>3490</v>
      </c>
      <c r="J58">
        <v>11220</v>
      </c>
      <c r="K58" t="s">
        <v>3522</v>
      </c>
      <c r="L58" t="s">
        <v>3525</v>
      </c>
      <c r="M58" t="s">
        <v>3563</v>
      </c>
      <c r="N58" t="s">
        <v>4109</v>
      </c>
      <c r="O58" t="s">
        <v>4134</v>
      </c>
      <c r="P58" t="s">
        <v>4140</v>
      </c>
      <c r="Q58" t="s">
        <v>4147</v>
      </c>
      <c r="R58" t="s">
        <v>3523</v>
      </c>
      <c r="T58" t="s">
        <v>4156</v>
      </c>
      <c r="U58" t="s">
        <v>4168</v>
      </c>
      <c r="V58" t="s">
        <v>222</v>
      </c>
      <c r="W58">
        <v>1938</v>
      </c>
      <c r="X58" t="s">
        <v>4193</v>
      </c>
      <c r="Y58" t="s">
        <v>4207</v>
      </c>
      <c r="Z58" t="s">
        <v>4263</v>
      </c>
      <c r="AA58" t="s">
        <v>5492</v>
      </c>
      <c r="AB58" t="s">
        <v>5684</v>
      </c>
      <c r="AC58">
        <v>60</v>
      </c>
      <c r="AD58" t="s">
        <v>6772</v>
      </c>
      <c r="AE58" t="s">
        <v>3526</v>
      </c>
      <c r="AF58">
        <v>2</v>
      </c>
      <c r="AG58">
        <v>1</v>
      </c>
      <c r="AH58">
        <v>1</v>
      </c>
      <c r="AI58">
        <v>0</v>
      </c>
      <c r="AL58" t="s">
        <v>6801</v>
      </c>
      <c r="AM58">
        <v>0</v>
      </c>
      <c r="AP58" t="s">
        <v>4200</v>
      </c>
      <c r="AQ58" t="s">
        <v>6946</v>
      </c>
      <c r="AR58" t="s">
        <v>6952</v>
      </c>
    </row>
    <row r="59" spans="1:44">
      <c r="A59" s="1">
        <f>HYPERLINK("https://lsnyc.legalserver.org/matter/dynamic-profile/view/1895830","19-1895830")</f>
        <v>0</v>
      </c>
      <c r="B59" t="s">
        <v>66</v>
      </c>
      <c r="C59" t="s">
        <v>218</v>
      </c>
      <c r="E59" t="s">
        <v>434</v>
      </c>
      <c r="F59" t="s">
        <v>1309</v>
      </c>
      <c r="G59" t="s">
        <v>2208</v>
      </c>
      <c r="H59" t="s">
        <v>3154</v>
      </c>
      <c r="I59" t="s">
        <v>3490</v>
      </c>
      <c r="J59">
        <v>11217</v>
      </c>
      <c r="K59" t="s">
        <v>3522</v>
      </c>
      <c r="L59" t="s">
        <v>3525</v>
      </c>
      <c r="M59" t="s">
        <v>3564</v>
      </c>
      <c r="N59" t="s">
        <v>4108</v>
      </c>
      <c r="O59" t="s">
        <v>4134</v>
      </c>
      <c r="Q59" t="s">
        <v>4147</v>
      </c>
      <c r="R59" t="s">
        <v>3522</v>
      </c>
      <c r="S59" t="s">
        <v>4149</v>
      </c>
      <c r="T59" t="s">
        <v>4156</v>
      </c>
      <c r="V59" t="s">
        <v>246</v>
      </c>
      <c r="W59">
        <v>1133.28</v>
      </c>
      <c r="X59" t="s">
        <v>4193</v>
      </c>
      <c r="Z59" t="s">
        <v>4264</v>
      </c>
      <c r="AB59" t="s">
        <v>5685</v>
      </c>
      <c r="AC59">
        <v>0</v>
      </c>
      <c r="AF59">
        <v>4</v>
      </c>
      <c r="AG59">
        <v>1</v>
      </c>
      <c r="AH59">
        <v>0</v>
      </c>
      <c r="AI59">
        <v>0</v>
      </c>
      <c r="AL59" t="s">
        <v>6801</v>
      </c>
      <c r="AM59">
        <v>0</v>
      </c>
    </row>
    <row r="60" spans="1:44">
      <c r="A60" s="1">
        <f>HYPERLINK("https://lsnyc.legalserver.org/matter/dynamic-profile/view/1912335","19-1912335")</f>
        <v>0</v>
      </c>
      <c r="B60" t="s">
        <v>53</v>
      </c>
      <c r="C60" t="s">
        <v>202</v>
      </c>
      <c r="E60" t="s">
        <v>435</v>
      </c>
      <c r="F60" t="s">
        <v>1310</v>
      </c>
      <c r="G60" t="s">
        <v>2209</v>
      </c>
      <c r="H60" t="s">
        <v>3155</v>
      </c>
      <c r="I60" t="s">
        <v>3490</v>
      </c>
      <c r="J60">
        <v>11217</v>
      </c>
      <c r="K60" t="s">
        <v>3522</v>
      </c>
      <c r="L60" t="s">
        <v>3525</v>
      </c>
      <c r="N60" t="s">
        <v>4109</v>
      </c>
      <c r="O60" t="s">
        <v>4136</v>
      </c>
      <c r="Q60" t="s">
        <v>4147</v>
      </c>
      <c r="R60" t="s">
        <v>3523</v>
      </c>
      <c r="T60" t="s">
        <v>4156</v>
      </c>
      <c r="U60" t="s">
        <v>4168</v>
      </c>
      <c r="V60" t="s">
        <v>202</v>
      </c>
      <c r="W60">
        <v>0</v>
      </c>
      <c r="X60" t="s">
        <v>4193</v>
      </c>
      <c r="Y60" t="s">
        <v>4197</v>
      </c>
      <c r="Z60" t="s">
        <v>4265</v>
      </c>
      <c r="AC60">
        <v>0</v>
      </c>
      <c r="AD60" t="s">
        <v>6772</v>
      </c>
      <c r="AE60" t="s">
        <v>3526</v>
      </c>
      <c r="AF60">
        <v>0</v>
      </c>
      <c r="AG60">
        <v>1</v>
      </c>
      <c r="AH60">
        <v>0</v>
      </c>
      <c r="AI60">
        <v>0</v>
      </c>
      <c r="AL60" t="s">
        <v>6801</v>
      </c>
      <c r="AM60">
        <v>0</v>
      </c>
    </row>
    <row r="61" spans="1:44">
      <c r="A61" s="1">
        <f>HYPERLINK("https://lsnyc.legalserver.org/matter/dynamic-profile/view/1915056","19-1915056")</f>
        <v>0</v>
      </c>
      <c r="B61" t="s">
        <v>66</v>
      </c>
      <c r="C61" t="s">
        <v>219</v>
      </c>
      <c r="E61" t="s">
        <v>436</v>
      </c>
      <c r="F61" t="s">
        <v>1311</v>
      </c>
      <c r="G61" t="s">
        <v>2210</v>
      </c>
      <c r="H61" t="s">
        <v>3136</v>
      </c>
      <c r="I61" t="s">
        <v>3490</v>
      </c>
      <c r="J61">
        <v>11217</v>
      </c>
      <c r="K61" t="s">
        <v>3522</v>
      </c>
      <c r="Q61" t="s">
        <v>4147</v>
      </c>
      <c r="T61" t="s">
        <v>4156</v>
      </c>
      <c r="V61" t="s">
        <v>301</v>
      </c>
      <c r="W61">
        <v>0</v>
      </c>
      <c r="X61" t="s">
        <v>4193</v>
      </c>
      <c r="Z61" t="s">
        <v>4266</v>
      </c>
      <c r="AC61">
        <v>8</v>
      </c>
      <c r="AF61">
        <v>0</v>
      </c>
      <c r="AG61">
        <v>2</v>
      </c>
      <c r="AH61">
        <v>1</v>
      </c>
      <c r="AI61">
        <v>0</v>
      </c>
      <c r="AL61" t="s">
        <v>6801</v>
      </c>
      <c r="AM61">
        <v>0</v>
      </c>
    </row>
    <row r="62" spans="1:44">
      <c r="A62" s="1">
        <f>HYPERLINK("https://lsnyc.legalserver.org/matter/dynamic-profile/view/1915095","19-1915095")</f>
        <v>0</v>
      </c>
      <c r="B62" t="s">
        <v>66</v>
      </c>
      <c r="C62" t="s">
        <v>219</v>
      </c>
      <c r="E62" t="s">
        <v>429</v>
      </c>
      <c r="F62" t="s">
        <v>1312</v>
      </c>
      <c r="G62" t="s">
        <v>2210</v>
      </c>
      <c r="H62" t="s">
        <v>3156</v>
      </c>
      <c r="I62" t="s">
        <v>3490</v>
      </c>
      <c r="J62">
        <v>11217</v>
      </c>
      <c r="K62" t="s">
        <v>3522</v>
      </c>
      <c r="Q62" t="s">
        <v>4147</v>
      </c>
      <c r="T62" t="s">
        <v>4156</v>
      </c>
      <c r="V62" t="s">
        <v>263</v>
      </c>
      <c r="W62">
        <v>0</v>
      </c>
      <c r="X62" t="s">
        <v>4193</v>
      </c>
      <c r="Z62" t="s">
        <v>4267</v>
      </c>
      <c r="AB62" t="s">
        <v>5686</v>
      </c>
      <c r="AC62">
        <v>8</v>
      </c>
      <c r="AF62">
        <v>0</v>
      </c>
      <c r="AG62">
        <v>1</v>
      </c>
      <c r="AH62">
        <v>0</v>
      </c>
      <c r="AI62">
        <v>0</v>
      </c>
      <c r="AL62" t="s">
        <v>6801</v>
      </c>
      <c r="AM62">
        <v>0</v>
      </c>
    </row>
    <row r="63" spans="1:44">
      <c r="A63" s="1">
        <f>HYPERLINK("https://lsnyc.legalserver.org/matter/dynamic-profile/view/1905722","19-1905722")</f>
        <v>0</v>
      </c>
      <c r="B63" t="s">
        <v>61</v>
      </c>
      <c r="C63" t="s">
        <v>206</v>
      </c>
      <c r="D63" t="s">
        <v>231</v>
      </c>
      <c r="E63" t="s">
        <v>437</v>
      </c>
      <c r="F63" t="s">
        <v>1313</v>
      </c>
      <c r="G63" t="s">
        <v>2211</v>
      </c>
      <c r="H63">
        <v>1</v>
      </c>
      <c r="I63" t="s">
        <v>3490</v>
      </c>
      <c r="J63">
        <v>11213</v>
      </c>
      <c r="K63" t="s">
        <v>3522</v>
      </c>
      <c r="L63" t="s">
        <v>3525</v>
      </c>
      <c r="M63" t="s">
        <v>3554</v>
      </c>
      <c r="N63" t="s">
        <v>3554</v>
      </c>
      <c r="O63" t="s">
        <v>4135</v>
      </c>
      <c r="P63" t="s">
        <v>4142</v>
      </c>
      <c r="Q63" t="s">
        <v>4147</v>
      </c>
      <c r="R63" t="s">
        <v>3523</v>
      </c>
      <c r="T63" t="s">
        <v>4156</v>
      </c>
      <c r="V63" t="s">
        <v>250</v>
      </c>
      <c r="W63">
        <v>2000</v>
      </c>
      <c r="X63" t="s">
        <v>4193</v>
      </c>
      <c r="Y63" t="s">
        <v>4200</v>
      </c>
      <c r="Z63" t="s">
        <v>4268</v>
      </c>
      <c r="AB63" t="s">
        <v>5687</v>
      </c>
      <c r="AC63">
        <v>3</v>
      </c>
      <c r="AF63">
        <v>5</v>
      </c>
      <c r="AG63">
        <v>1</v>
      </c>
      <c r="AH63">
        <v>0</v>
      </c>
      <c r="AI63">
        <v>0</v>
      </c>
      <c r="AL63" t="s">
        <v>6801</v>
      </c>
      <c r="AM63">
        <v>0</v>
      </c>
    </row>
    <row r="64" spans="1:44">
      <c r="A64" s="1">
        <f>HYPERLINK("https://lsnyc.legalserver.org/matter/dynamic-profile/view/1915832","19-1915832")</f>
        <v>0</v>
      </c>
      <c r="B64" t="s">
        <v>67</v>
      </c>
      <c r="C64" t="s">
        <v>220</v>
      </c>
      <c r="E64" t="s">
        <v>438</v>
      </c>
      <c r="F64" t="s">
        <v>1314</v>
      </c>
      <c r="G64" t="s">
        <v>2212</v>
      </c>
      <c r="H64">
        <v>1</v>
      </c>
      <c r="I64" t="s">
        <v>3490</v>
      </c>
      <c r="J64">
        <v>11213</v>
      </c>
      <c r="K64" t="s">
        <v>3522</v>
      </c>
      <c r="L64" t="s">
        <v>3525</v>
      </c>
      <c r="N64" t="s">
        <v>3554</v>
      </c>
      <c r="O64" t="s">
        <v>4135</v>
      </c>
      <c r="Q64" t="s">
        <v>4147</v>
      </c>
      <c r="R64" t="s">
        <v>3522</v>
      </c>
      <c r="T64" t="s">
        <v>4156</v>
      </c>
      <c r="V64" t="s">
        <v>220</v>
      </c>
      <c r="W64">
        <v>1016.93</v>
      </c>
      <c r="X64" t="s">
        <v>4193</v>
      </c>
      <c r="Y64" t="s">
        <v>4198</v>
      </c>
      <c r="Z64" t="s">
        <v>4269</v>
      </c>
      <c r="AB64" t="s">
        <v>5482</v>
      </c>
      <c r="AC64">
        <v>31</v>
      </c>
      <c r="AD64" t="s">
        <v>6772</v>
      </c>
      <c r="AF64">
        <v>15</v>
      </c>
      <c r="AG64">
        <v>3</v>
      </c>
      <c r="AH64">
        <v>2</v>
      </c>
      <c r="AI64">
        <v>0</v>
      </c>
      <c r="AL64" t="s">
        <v>6801</v>
      </c>
      <c r="AM64">
        <v>0</v>
      </c>
    </row>
    <row r="65" spans="1:40">
      <c r="A65" s="1">
        <f>HYPERLINK("https://lsnyc.legalserver.org/matter/dynamic-profile/view/1911142","19-1911142")</f>
        <v>0</v>
      </c>
      <c r="B65" t="s">
        <v>68</v>
      </c>
      <c r="C65" t="s">
        <v>212</v>
      </c>
      <c r="E65" t="s">
        <v>439</v>
      </c>
      <c r="F65" t="s">
        <v>1315</v>
      </c>
      <c r="G65" t="s">
        <v>2213</v>
      </c>
      <c r="I65" t="s">
        <v>3490</v>
      </c>
      <c r="J65">
        <v>11212</v>
      </c>
      <c r="K65" t="s">
        <v>3522</v>
      </c>
      <c r="L65" t="s">
        <v>3525</v>
      </c>
      <c r="M65" t="s">
        <v>3565</v>
      </c>
      <c r="N65" t="s">
        <v>4107</v>
      </c>
      <c r="O65" t="s">
        <v>4135</v>
      </c>
      <c r="Q65" t="s">
        <v>4147</v>
      </c>
      <c r="R65" t="s">
        <v>3523</v>
      </c>
      <c r="T65" t="s">
        <v>4156</v>
      </c>
      <c r="U65" t="s">
        <v>4168</v>
      </c>
      <c r="V65" t="s">
        <v>251</v>
      </c>
      <c r="W65">
        <v>1500</v>
      </c>
      <c r="X65" t="s">
        <v>4193</v>
      </c>
      <c r="Y65" t="s">
        <v>4197</v>
      </c>
      <c r="Z65" t="s">
        <v>4270</v>
      </c>
      <c r="AB65" t="s">
        <v>5688</v>
      </c>
      <c r="AC65">
        <v>4</v>
      </c>
      <c r="AD65" t="s">
        <v>6771</v>
      </c>
      <c r="AE65" t="s">
        <v>6786</v>
      </c>
      <c r="AF65">
        <v>7</v>
      </c>
      <c r="AG65">
        <v>1</v>
      </c>
      <c r="AH65">
        <v>4</v>
      </c>
      <c r="AI65">
        <v>0</v>
      </c>
      <c r="AL65" t="s">
        <v>6801</v>
      </c>
      <c r="AM65">
        <v>0</v>
      </c>
    </row>
    <row r="66" spans="1:40">
      <c r="A66" s="1">
        <f>HYPERLINK("https://lsnyc.legalserver.org/matter/dynamic-profile/view/1911784","19-1911784")</f>
        <v>0</v>
      </c>
      <c r="B66" t="s">
        <v>69</v>
      </c>
      <c r="C66" t="s">
        <v>190</v>
      </c>
      <c r="D66" t="s">
        <v>204</v>
      </c>
      <c r="E66" t="s">
        <v>440</v>
      </c>
      <c r="F66" t="s">
        <v>1316</v>
      </c>
      <c r="G66" t="s">
        <v>2214</v>
      </c>
      <c r="H66" t="s">
        <v>3157</v>
      </c>
      <c r="I66" t="s">
        <v>3490</v>
      </c>
      <c r="J66">
        <v>11212</v>
      </c>
      <c r="K66" t="s">
        <v>3522</v>
      </c>
      <c r="L66" t="s">
        <v>3525</v>
      </c>
      <c r="M66" t="s">
        <v>3566</v>
      </c>
      <c r="N66" t="s">
        <v>4107</v>
      </c>
      <c r="O66" t="s">
        <v>4132</v>
      </c>
      <c r="P66" t="s">
        <v>4139</v>
      </c>
      <c r="Q66" t="s">
        <v>4147</v>
      </c>
      <c r="R66" t="s">
        <v>3523</v>
      </c>
      <c r="T66" t="s">
        <v>4156</v>
      </c>
      <c r="U66" t="s">
        <v>4167</v>
      </c>
      <c r="V66" t="s">
        <v>190</v>
      </c>
      <c r="W66">
        <v>70</v>
      </c>
      <c r="X66" t="s">
        <v>4193</v>
      </c>
      <c r="Y66" t="s">
        <v>4200</v>
      </c>
      <c r="Z66" t="s">
        <v>4271</v>
      </c>
      <c r="AB66" t="s">
        <v>5689</v>
      </c>
      <c r="AC66">
        <v>19</v>
      </c>
      <c r="AD66" t="s">
        <v>6772</v>
      </c>
      <c r="AE66" t="s">
        <v>3526</v>
      </c>
      <c r="AF66">
        <v>7</v>
      </c>
      <c r="AG66">
        <v>1</v>
      </c>
      <c r="AH66">
        <v>1</v>
      </c>
      <c r="AI66">
        <v>0</v>
      </c>
      <c r="AL66" t="s">
        <v>6801</v>
      </c>
      <c r="AM66">
        <v>0</v>
      </c>
    </row>
    <row r="67" spans="1:40">
      <c r="A67" s="1">
        <f>HYPERLINK("https://lsnyc.legalserver.org/matter/dynamic-profile/view/1913355","19-1913355")</f>
        <v>0</v>
      </c>
      <c r="B67" t="s">
        <v>70</v>
      </c>
      <c r="C67" t="s">
        <v>192</v>
      </c>
      <c r="E67" t="s">
        <v>441</v>
      </c>
      <c r="F67" t="s">
        <v>1295</v>
      </c>
      <c r="G67" t="s">
        <v>2215</v>
      </c>
      <c r="H67" t="s">
        <v>3129</v>
      </c>
      <c r="I67" t="s">
        <v>3490</v>
      </c>
      <c r="J67">
        <v>11212</v>
      </c>
      <c r="K67" t="s">
        <v>3522</v>
      </c>
      <c r="L67" t="s">
        <v>3525</v>
      </c>
      <c r="M67" t="s">
        <v>3567</v>
      </c>
      <c r="N67" t="s">
        <v>4107</v>
      </c>
      <c r="O67" t="s">
        <v>4135</v>
      </c>
      <c r="Q67" t="s">
        <v>4147</v>
      </c>
      <c r="R67" t="s">
        <v>3523</v>
      </c>
      <c r="T67" t="s">
        <v>4156</v>
      </c>
      <c r="U67" t="s">
        <v>4168</v>
      </c>
      <c r="V67" t="s">
        <v>219</v>
      </c>
      <c r="W67">
        <v>1400</v>
      </c>
      <c r="X67" t="s">
        <v>4193</v>
      </c>
      <c r="Y67" t="s">
        <v>4207</v>
      </c>
      <c r="Z67" t="s">
        <v>4272</v>
      </c>
      <c r="AB67" t="s">
        <v>5690</v>
      </c>
      <c r="AC67">
        <v>4</v>
      </c>
      <c r="AD67" t="s">
        <v>6771</v>
      </c>
      <c r="AE67" t="s">
        <v>3526</v>
      </c>
      <c r="AF67">
        <v>3</v>
      </c>
      <c r="AG67">
        <v>1</v>
      </c>
      <c r="AH67">
        <v>0</v>
      </c>
      <c r="AI67">
        <v>0</v>
      </c>
      <c r="AL67" t="s">
        <v>6801</v>
      </c>
      <c r="AM67">
        <v>0</v>
      </c>
    </row>
    <row r="68" spans="1:40">
      <c r="A68" s="1">
        <f>HYPERLINK("https://lsnyc.legalserver.org/matter/dynamic-profile/view/1895273","19-1895273")</f>
        <v>0</v>
      </c>
      <c r="B68" t="s">
        <v>71</v>
      </c>
      <c r="C68" t="s">
        <v>221</v>
      </c>
      <c r="E68" t="s">
        <v>442</v>
      </c>
      <c r="F68" t="s">
        <v>1317</v>
      </c>
      <c r="G68" t="s">
        <v>2216</v>
      </c>
      <c r="H68" t="s">
        <v>3141</v>
      </c>
      <c r="I68" t="s">
        <v>3490</v>
      </c>
      <c r="J68">
        <v>11212</v>
      </c>
      <c r="K68" t="s">
        <v>3522</v>
      </c>
      <c r="L68" t="s">
        <v>3526</v>
      </c>
      <c r="M68" t="s">
        <v>3568</v>
      </c>
      <c r="N68" t="s">
        <v>4113</v>
      </c>
      <c r="O68" t="s">
        <v>4138</v>
      </c>
      <c r="Q68" t="s">
        <v>4147</v>
      </c>
      <c r="R68" t="s">
        <v>3522</v>
      </c>
      <c r="T68" t="s">
        <v>4156</v>
      </c>
      <c r="U68" t="s">
        <v>4168</v>
      </c>
      <c r="V68" t="s">
        <v>336</v>
      </c>
      <c r="W68">
        <v>683</v>
      </c>
      <c r="X68" t="s">
        <v>4193</v>
      </c>
      <c r="Y68" t="s">
        <v>4208</v>
      </c>
      <c r="Z68" t="s">
        <v>4273</v>
      </c>
      <c r="AC68">
        <v>8</v>
      </c>
      <c r="AD68" t="s">
        <v>6772</v>
      </c>
      <c r="AE68" t="s">
        <v>3526</v>
      </c>
      <c r="AF68">
        <v>30</v>
      </c>
      <c r="AG68">
        <v>2</v>
      </c>
      <c r="AH68">
        <v>0</v>
      </c>
      <c r="AI68">
        <v>0</v>
      </c>
      <c r="AL68" t="s">
        <v>6801</v>
      </c>
      <c r="AM68">
        <v>0</v>
      </c>
      <c r="AN68" t="s">
        <v>6825</v>
      </c>
    </row>
    <row r="69" spans="1:40">
      <c r="A69" s="1">
        <f>HYPERLINK("https://lsnyc.legalserver.org/matter/dynamic-profile/view/1907743","19-1907743")</f>
        <v>0</v>
      </c>
      <c r="B69" t="s">
        <v>65</v>
      </c>
      <c r="C69" t="s">
        <v>222</v>
      </c>
      <c r="E69" t="s">
        <v>443</v>
      </c>
      <c r="F69" t="s">
        <v>1318</v>
      </c>
      <c r="G69" t="s">
        <v>2217</v>
      </c>
      <c r="H69" t="s">
        <v>3158</v>
      </c>
      <c r="I69" t="s">
        <v>3490</v>
      </c>
      <c r="J69">
        <v>11210</v>
      </c>
      <c r="K69" t="s">
        <v>3522</v>
      </c>
      <c r="L69" t="s">
        <v>3525</v>
      </c>
      <c r="M69" t="s">
        <v>3569</v>
      </c>
      <c r="N69" t="s">
        <v>4107</v>
      </c>
      <c r="O69" t="s">
        <v>4134</v>
      </c>
      <c r="Q69" t="s">
        <v>4147</v>
      </c>
      <c r="R69" t="s">
        <v>3523</v>
      </c>
      <c r="T69" t="s">
        <v>4156</v>
      </c>
      <c r="V69" t="s">
        <v>222</v>
      </c>
      <c r="W69">
        <v>1400</v>
      </c>
      <c r="X69" t="s">
        <v>4193</v>
      </c>
      <c r="Z69" t="s">
        <v>4274</v>
      </c>
      <c r="AB69" t="s">
        <v>5691</v>
      </c>
      <c r="AC69">
        <v>42</v>
      </c>
      <c r="AD69" t="s">
        <v>6772</v>
      </c>
      <c r="AF69">
        <v>23</v>
      </c>
      <c r="AG69">
        <v>1</v>
      </c>
      <c r="AH69">
        <v>2</v>
      </c>
      <c r="AI69">
        <v>0</v>
      </c>
      <c r="AL69" t="s">
        <v>6801</v>
      </c>
      <c r="AM69">
        <v>0</v>
      </c>
    </row>
    <row r="70" spans="1:40">
      <c r="A70" s="1">
        <f>HYPERLINK("https://lsnyc.legalserver.org/matter/dynamic-profile/view/1911798","19-1911798")</f>
        <v>0</v>
      </c>
      <c r="B70" t="s">
        <v>55</v>
      </c>
      <c r="C70" t="s">
        <v>190</v>
      </c>
      <c r="D70" t="s">
        <v>190</v>
      </c>
      <c r="E70" t="s">
        <v>444</v>
      </c>
      <c r="F70" t="s">
        <v>736</v>
      </c>
      <c r="G70" t="s">
        <v>2218</v>
      </c>
      <c r="I70" t="s">
        <v>3490</v>
      </c>
      <c r="J70">
        <v>11208</v>
      </c>
      <c r="K70" t="s">
        <v>3522</v>
      </c>
      <c r="L70" t="s">
        <v>3525</v>
      </c>
      <c r="N70" t="s">
        <v>4114</v>
      </c>
      <c r="O70" t="s">
        <v>4132</v>
      </c>
      <c r="P70" t="s">
        <v>4139</v>
      </c>
      <c r="Q70" t="s">
        <v>4147</v>
      </c>
      <c r="R70" t="s">
        <v>3523</v>
      </c>
      <c r="T70" t="s">
        <v>4156</v>
      </c>
      <c r="V70" t="s">
        <v>214</v>
      </c>
      <c r="W70">
        <v>0</v>
      </c>
      <c r="X70" t="s">
        <v>4193</v>
      </c>
      <c r="Y70" t="s">
        <v>4206</v>
      </c>
      <c r="Z70" t="s">
        <v>4275</v>
      </c>
      <c r="AC70">
        <v>6</v>
      </c>
      <c r="AF70">
        <v>0</v>
      </c>
      <c r="AG70">
        <v>1</v>
      </c>
      <c r="AH70">
        <v>3</v>
      </c>
      <c r="AI70">
        <v>0</v>
      </c>
      <c r="AL70" t="s">
        <v>6801</v>
      </c>
      <c r="AM70">
        <v>0</v>
      </c>
    </row>
    <row r="71" spans="1:40">
      <c r="A71" s="1">
        <f>HYPERLINK("https://lsnyc.legalserver.org/matter/dynamic-profile/view/1916413","19-1916413")</f>
        <v>0</v>
      </c>
      <c r="B71" t="s">
        <v>72</v>
      </c>
      <c r="C71" t="s">
        <v>223</v>
      </c>
      <c r="E71" t="s">
        <v>445</v>
      </c>
      <c r="F71" t="s">
        <v>1319</v>
      </c>
      <c r="G71" t="s">
        <v>2219</v>
      </c>
      <c r="H71">
        <v>5</v>
      </c>
      <c r="I71" t="s">
        <v>3490</v>
      </c>
      <c r="J71">
        <v>11207</v>
      </c>
      <c r="K71" t="s">
        <v>3523</v>
      </c>
      <c r="L71" t="s">
        <v>3526</v>
      </c>
      <c r="M71" t="s">
        <v>3570</v>
      </c>
      <c r="N71" t="s">
        <v>4115</v>
      </c>
      <c r="O71" t="s">
        <v>4134</v>
      </c>
      <c r="Q71" t="s">
        <v>4147</v>
      </c>
      <c r="R71" t="s">
        <v>3522</v>
      </c>
      <c r="T71" t="s">
        <v>4156</v>
      </c>
      <c r="U71" t="s">
        <v>4168</v>
      </c>
      <c r="V71" t="s">
        <v>208</v>
      </c>
      <c r="W71">
        <v>500</v>
      </c>
      <c r="X71" t="s">
        <v>4193</v>
      </c>
      <c r="Y71" t="s">
        <v>4200</v>
      </c>
      <c r="Z71" t="s">
        <v>4276</v>
      </c>
      <c r="AA71" t="s">
        <v>3562</v>
      </c>
      <c r="AB71" t="s">
        <v>5692</v>
      </c>
      <c r="AC71">
        <v>7</v>
      </c>
      <c r="AD71" t="s">
        <v>6771</v>
      </c>
      <c r="AE71" t="s">
        <v>3526</v>
      </c>
      <c r="AF71">
        <v>46</v>
      </c>
      <c r="AG71">
        <v>3</v>
      </c>
      <c r="AH71">
        <v>0</v>
      </c>
      <c r="AI71">
        <v>0</v>
      </c>
      <c r="AL71" t="s">
        <v>6801</v>
      </c>
      <c r="AM71">
        <v>0</v>
      </c>
    </row>
    <row r="72" spans="1:40">
      <c r="A72" s="1">
        <f>HYPERLINK("https://lsnyc.legalserver.org/matter/dynamic-profile/view/1907956","19-1907956")</f>
        <v>0</v>
      </c>
      <c r="B72" t="s">
        <v>60</v>
      </c>
      <c r="C72" t="s">
        <v>193</v>
      </c>
      <c r="E72" t="s">
        <v>446</v>
      </c>
      <c r="F72" t="s">
        <v>1320</v>
      </c>
      <c r="G72" t="s">
        <v>2220</v>
      </c>
      <c r="H72" t="s">
        <v>3159</v>
      </c>
      <c r="I72" t="s">
        <v>3490</v>
      </c>
      <c r="J72">
        <v>11207</v>
      </c>
      <c r="K72" t="s">
        <v>3522</v>
      </c>
      <c r="L72" t="s">
        <v>3525</v>
      </c>
      <c r="M72" t="s">
        <v>3571</v>
      </c>
      <c r="N72" t="s">
        <v>4107</v>
      </c>
      <c r="O72" t="s">
        <v>4134</v>
      </c>
      <c r="Q72" t="s">
        <v>4147</v>
      </c>
      <c r="R72" t="s">
        <v>3523</v>
      </c>
      <c r="T72" t="s">
        <v>4156</v>
      </c>
      <c r="U72" t="s">
        <v>4168</v>
      </c>
      <c r="V72" t="s">
        <v>193</v>
      </c>
      <c r="W72">
        <v>1000</v>
      </c>
      <c r="X72" t="s">
        <v>4193</v>
      </c>
      <c r="Y72" t="s">
        <v>4205</v>
      </c>
      <c r="Z72" t="s">
        <v>4277</v>
      </c>
      <c r="AA72" t="s">
        <v>5485</v>
      </c>
      <c r="AB72" t="s">
        <v>5693</v>
      </c>
      <c r="AC72">
        <v>3</v>
      </c>
      <c r="AD72" t="s">
        <v>6771</v>
      </c>
      <c r="AE72" t="s">
        <v>3526</v>
      </c>
      <c r="AF72">
        <v>2</v>
      </c>
      <c r="AG72">
        <v>2</v>
      </c>
      <c r="AH72">
        <v>0</v>
      </c>
      <c r="AI72">
        <v>0</v>
      </c>
      <c r="AL72" t="s">
        <v>6801</v>
      </c>
      <c r="AM72">
        <v>0</v>
      </c>
    </row>
    <row r="73" spans="1:40">
      <c r="A73" s="1">
        <f>HYPERLINK("https://lsnyc.legalserver.org/matter/dynamic-profile/view/1908579","19-1908579")</f>
        <v>0</v>
      </c>
      <c r="B73" t="s">
        <v>69</v>
      </c>
      <c r="C73" t="s">
        <v>224</v>
      </c>
      <c r="D73" t="s">
        <v>213</v>
      </c>
      <c r="E73" t="s">
        <v>447</v>
      </c>
      <c r="F73" t="s">
        <v>1321</v>
      </c>
      <c r="G73" t="s">
        <v>2221</v>
      </c>
      <c r="H73" t="s">
        <v>3160</v>
      </c>
      <c r="I73" t="s">
        <v>3490</v>
      </c>
      <c r="J73">
        <v>11207</v>
      </c>
      <c r="K73" t="s">
        <v>3522</v>
      </c>
      <c r="L73" t="s">
        <v>3525</v>
      </c>
      <c r="M73" t="s">
        <v>3572</v>
      </c>
      <c r="N73" t="s">
        <v>4109</v>
      </c>
      <c r="O73" t="s">
        <v>4132</v>
      </c>
      <c r="P73" t="s">
        <v>4139</v>
      </c>
      <c r="Q73" t="s">
        <v>4147</v>
      </c>
      <c r="T73" t="s">
        <v>4156</v>
      </c>
      <c r="V73" t="s">
        <v>224</v>
      </c>
      <c r="W73">
        <v>710</v>
      </c>
      <c r="X73" t="s">
        <v>4193</v>
      </c>
      <c r="Y73" t="s">
        <v>4197</v>
      </c>
      <c r="Z73" t="s">
        <v>4278</v>
      </c>
      <c r="AB73" t="s">
        <v>5694</v>
      </c>
      <c r="AC73">
        <v>0</v>
      </c>
      <c r="AF73">
        <v>0</v>
      </c>
      <c r="AG73">
        <v>1</v>
      </c>
      <c r="AH73">
        <v>0</v>
      </c>
      <c r="AI73">
        <v>0</v>
      </c>
      <c r="AL73" t="s">
        <v>6801</v>
      </c>
      <c r="AM73">
        <v>0</v>
      </c>
    </row>
    <row r="74" spans="1:40">
      <c r="A74" s="1">
        <f>HYPERLINK("https://lsnyc.legalserver.org/matter/dynamic-profile/view/1907285","19-1907285")</f>
        <v>0</v>
      </c>
      <c r="B74" t="s">
        <v>46</v>
      </c>
      <c r="C74" t="s">
        <v>225</v>
      </c>
      <c r="E74" t="s">
        <v>415</v>
      </c>
      <c r="F74" t="s">
        <v>1322</v>
      </c>
      <c r="G74" t="s">
        <v>2222</v>
      </c>
      <c r="H74" t="s">
        <v>3161</v>
      </c>
      <c r="I74" t="s">
        <v>3491</v>
      </c>
      <c r="J74">
        <v>11106</v>
      </c>
      <c r="K74" t="s">
        <v>3522</v>
      </c>
      <c r="L74" t="s">
        <v>3527</v>
      </c>
      <c r="M74" t="s">
        <v>3573</v>
      </c>
      <c r="N74" t="s">
        <v>4109</v>
      </c>
      <c r="O74" t="s">
        <v>4132</v>
      </c>
      <c r="Q74" t="s">
        <v>4148</v>
      </c>
      <c r="R74" t="s">
        <v>3523</v>
      </c>
      <c r="T74" t="s">
        <v>4156</v>
      </c>
      <c r="U74" t="s">
        <v>4168</v>
      </c>
      <c r="V74" t="s">
        <v>225</v>
      </c>
      <c r="W74">
        <v>474</v>
      </c>
      <c r="X74" t="s">
        <v>4192</v>
      </c>
      <c r="Y74" t="s">
        <v>4199</v>
      </c>
      <c r="Z74" t="s">
        <v>4279</v>
      </c>
      <c r="AA74" t="s">
        <v>5493</v>
      </c>
      <c r="AB74" t="s">
        <v>5695</v>
      </c>
      <c r="AC74">
        <v>6</v>
      </c>
      <c r="AD74" t="s">
        <v>6772</v>
      </c>
      <c r="AE74" t="s">
        <v>3526</v>
      </c>
      <c r="AF74">
        <v>1</v>
      </c>
      <c r="AG74">
        <v>1</v>
      </c>
      <c r="AH74">
        <v>1</v>
      </c>
      <c r="AI74">
        <v>0</v>
      </c>
      <c r="AJ74" t="s">
        <v>6795</v>
      </c>
      <c r="AK74" t="s">
        <v>6798</v>
      </c>
      <c r="AL74" t="s">
        <v>6801</v>
      </c>
      <c r="AM74">
        <v>0</v>
      </c>
    </row>
    <row r="75" spans="1:40">
      <c r="A75" s="1">
        <f>HYPERLINK("https://lsnyc.legalserver.org/matter/dynamic-profile/view/1910620","19-1910620")</f>
        <v>0</v>
      </c>
      <c r="B75" t="s">
        <v>45</v>
      </c>
      <c r="C75" t="s">
        <v>177</v>
      </c>
      <c r="E75" t="s">
        <v>448</v>
      </c>
      <c r="F75" t="s">
        <v>1323</v>
      </c>
      <c r="G75" t="s">
        <v>2223</v>
      </c>
      <c r="H75" t="s">
        <v>3146</v>
      </c>
      <c r="I75" t="s">
        <v>3492</v>
      </c>
      <c r="J75">
        <v>11104</v>
      </c>
      <c r="K75" t="s">
        <v>3522</v>
      </c>
      <c r="L75" t="s">
        <v>3525</v>
      </c>
      <c r="M75" t="s">
        <v>3574</v>
      </c>
      <c r="N75" t="s">
        <v>4109</v>
      </c>
      <c r="O75" t="s">
        <v>4135</v>
      </c>
      <c r="Q75" t="s">
        <v>4147</v>
      </c>
      <c r="R75" t="s">
        <v>3523</v>
      </c>
      <c r="T75" t="s">
        <v>4156</v>
      </c>
      <c r="V75" t="s">
        <v>177</v>
      </c>
      <c r="W75">
        <v>1298.07</v>
      </c>
      <c r="X75" t="s">
        <v>4192</v>
      </c>
      <c r="Y75" t="s">
        <v>4197</v>
      </c>
      <c r="Z75" t="s">
        <v>4280</v>
      </c>
      <c r="AA75" t="s">
        <v>5494</v>
      </c>
      <c r="AB75" t="s">
        <v>5696</v>
      </c>
      <c r="AC75">
        <v>6</v>
      </c>
      <c r="AD75" t="s">
        <v>5524</v>
      </c>
      <c r="AE75" t="s">
        <v>3526</v>
      </c>
      <c r="AF75">
        <v>19</v>
      </c>
      <c r="AG75">
        <v>2</v>
      </c>
      <c r="AH75">
        <v>1</v>
      </c>
      <c r="AI75">
        <v>0</v>
      </c>
      <c r="AL75" t="s">
        <v>6801</v>
      </c>
      <c r="AM75">
        <v>0</v>
      </c>
    </row>
    <row r="76" spans="1:40">
      <c r="A76" s="1">
        <f>HYPERLINK("https://lsnyc.legalserver.org/matter/dynamic-profile/view/1907244","19-1907244")</f>
        <v>0</v>
      </c>
      <c r="B76" t="s">
        <v>73</v>
      </c>
      <c r="C76" t="s">
        <v>225</v>
      </c>
      <c r="D76" t="s">
        <v>314</v>
      </c>
      <c r="E76" t="s">
        <v>449</v>
      </c>
      <c r="F76" t="s">
        <v>1324</v>
      </c>
      <c r="G76" t="s">
        <v>2224</v>
      </c>
      <c r="H76" t="s">
        <v>3162</v>
      </c>
      <c r="I76" t="s">
        <v>3493</v>
      </c>
      <c r="J76">
        <v>10470</v>
      </c>
      <c r="K76" t="s">
        <v>3522</v>
      </c>
      <c r="L76" t="s">
        <v>3525</v>
      </c>
      <c r="M76" t="s">
        <v>3562</v>
      </c>
      <c r="N76" t="s">
        <v>3554</v>
      </c>
      <c r="O76" t="s">
        <v>4132</v>
      </c>
      <c r="P76" t="s">
        <v>4139</v>
      </c>
      <c r="Q76" t="s">
        <v>4147</v>
      </c>
      <c r="R76" t="s">
        <v>3523</v>
      </c>
      <c r="T76" t="s">
        <v>4156</v>
      </c>
      <c r="V76" t="s">
        <v>193</v>
      </c>
      <c r="W76">
        <v>1486.4</v>
      </c>
      <c r="X76" t="s">
        <v>4194</v>
      </c>
      <c r="Y76" t="s">
        <v>4206</v>
      </c>
      <c r="Z76" t="s">
        <v>4281</v>
      </c>
      <c r="AC76">
        <v>89</v>
      </c>
      <c r="AD76" t="s">
        <v>6772</v>
      </c>
      <c r="AE76" t="s">
        <v>3526</v>
      </c>
      <c r="AF76">
        <v>12</v>
      </c>
      <c r="AG76">
        <v>1</v>
      </c>
      <c r="AH76">
        <v>0</v>
      </c>
      <c r="AI76">
        <v>0</v>
      </c>
      <c r="AL76" t="s">
        <v>6801</v>
      </c>
      <c r="AM76">
        <v>0</v>
      </c>
    </row>
    <row r="77" spans="1:40">
      <c r="A77" s="1">
        <f>HYPERLINK("https://lsnyc.legalserver.org/matter/dynamic-profile/view/1907538","19-1907538")</f>
        <v>0</v>
      </c>
      <c r="B77" t="s">
        <v>74</v>
      </c>
      <c r="C77" t="s">
        <v>185</v>
      </c>
      <c r="D77" t="s">
        <v>242</v>
      </c>
      <c r="E77" t="s">
        <v>449</v>
      </c>
      <c r="F77" t="s">
        <v>1324</v>
      </c>
      <c r="G77" t="s">
        <v>2224</v>
      </c>
      <c r="H77" t="s">
        <v>3162</v>
      </c>
      <c r="I77" t="s">
        <v>3493</v>
      </c>
      <c r="J77">
        <v>10470</v>
      </c>
      <c r="K77" t="s">
        <v>3522</v>
      </c>
      <c r="L77" t="s">
        <v>3525</v>
      </c>
      <c r="N77" t="s">
        <v>3554</v>
      </c>
      <c r="O77" t="s">
        <v>4132</v>
      </c>
      <c r="P77" t="s">
        <v>4139</v>
      </c>
      <c r="Q77" t="s">
        <v>4147</v>
      </c>
      <c r="S77" t="s">
        <v>4147</v>
      </c>
      <c r="T77" t="s">
        <v>4156</v>
      </c>
      <c r="U77" t="s">
        <v>4168</v>
      </c>
      <c r="V77" t="s">
        <v>230</v>
      </c>
      <c r="W77">
        <v>0</v>
      </c>
      <c r="X77" t="s">
        <v>4194</v>
      </c>
      <c r="Z77" t="s">
        <v>4281</v>
      </c>
      <c r="AB77" t="s">
        <v>5697</v>
      </c>
      <c r="AC77">
        <v>89</v>
      </c>
      <c r="AD77" t="s">
        <v>6772</v>
      </c>
      <c r="AE77" t="s">
        <v>3526</v>
      </c>
      <c r="AF77">
        <v>12</v>
      </c>
      <c r="AG77">
        <v>1</v>
      </c>
      <c r="AH77">
        <v>4</v>
      </c>
      <c r="AI77">
        <v>0</v>
      </c>
      <c r="AL77" t="s">
        <v>6801</v>
      </c>
      <c r="AM77">
        <v>0</v>
      </c>
    </row>
    <row r="78" spans="1:40">
      <c r="A78" s="1">
        <f>HYPERLINK("https://lsnyc.legalserver.org/matter/dynamic-profile/view/1908298","19-1908298")</f>
        <v>0</v>
      </c>
      <c r="B78" t="s">
        <v>75</v>
      </c>
      <c r="C78" t="s">
        <v>211</v>
      </c>
      <c r="D78" t="s">
        <v>205</v>
      </c>
      <c r="E78" t="s">
        <v>449</v>
      </c>
      <c r="F78" t="s">
        <v>1324</v>
      </c>
      <c r="G78" t="s">
        <v>2224</v>
      </c>
      <c r="H78" t="s">
        <v>3162</v>
      </c>
      <c r="I78" t="s">
        <v>3493</v>
      </c>
      <c r="J78">
        <v>10470</v>
      </c>
      <c r="K78" t="s">
        <v>3522</v>
      </c>
      <c r="L78" t="s">
        <v>3525</v>
      </c>
      <c r="O78" t="s">
        <v>4132</v>
      </c>
      <c r="P78" t="s">
        <v>4139</v>
      </c>
      <c r="Q78" t="s">
        <v>4147</v>
      </c>
      <c r="R78" t="s">
        <v>3523</v>
      </c>
      <c r="T78" t="s">
        <v>4156</v>
      </c>
      <c r="V78" t="s">
        <v>211</v>
      </c>
      <c r="W78">
        <v>1468.05</v>
      </c>
      <c r="X78" t="s">
        <v>4194</v>
      </c>
      <c r="Y78" t="s">
        <v>4206</v>
      </c>
      <c r="Z78" t="s">
        <v>4281</v>
      </c>
      <c r="AB78" t="s">
        <v>5697</v>
      </c>
      <c r="AC78">
        <v>89</v>
      </c>
      <c r="AD78" t="s">
        <v>6772</v>
      </c>
      <c r="AE78" t="s">
        <v>3526</v>
      </c>
      <c r="AF78">
        <v>12</v>
      </c>
      <c r="AG78">
        <v>1</v>
      </c>
      <c r="AH78">
        <v>0</v>
      </c>
      <c r="AI78">
        <v>0</v>
      </c>
      <c r="AL78" t="s">
        <v>6801</v>
      </c>
      <c r="AM78">
        <v>0</v>
      </c>
    </row>
    <row r="79" spans="1:40">
      <c r="A79" s="1">
        <f>HYPERLINK("https://lsnyc.legalserver.org/matter/dynamic-profile/view/1913859","19-1913859")</f>
        <v>0</v>
      </c>
      <c r="B79" t="s">
        <v>76</v>
      </c>
      <c r="C79" t="s">
        <v>199</v>
      </c>
      <c r="D79" t="s">
        <v>213</v>
      </c>
      <c r="E79" t="s">
        <v>450</v>
      </c>
      <c r="F79" t="s">
        <v>1325</v>
      </c>
      <c r="G79" t="s">
        <v>2225</v>
      </c>
      <c r="I79" t="s">
        <v>3493</v>
      </c>
      <c r="J79">
        <v>10466</v>
      </c>
      <c r="K79" t="s">
        <v>3522</v>
      </c>
      <c r="L79" t="s">
        <v>3525</v>
      </c>
      <c r="N79" t="s">
        <v>3554</v>
      </c>
      <c r="O79" t="s">
        <v>4135</v>
      </c>
      <c r="P79" t="s">
        <v>4139</v>
      </c>
      <c r="Q79" t="s">
        <v>4147</v>
      </c>
      <c r="R79" t="s">
        <v>3522</v>
      </c>
      <c r="T79" t="s">
        <v>4156</v>
      </c>
      <c r="V79" t="s">
        <v>182</v>
      </c>
      <c r="W79">
        <v>0</v>
      </c>
      <c r="X79" t="s">
        <v>4194</v>
      </c>
      <c r="Y79" t="s">
        <v>4198</v>
      </c>
      <c r="Z79" t="s">
        <v>4282</v>
      </c>
      <c r="AA79" t="s">
        <v>5495</v>
      </c>
      <c r="AB79" t="s">
        <v>5698</v>
      </c>
      <c r="AC79">
        <v>4</v>
      </c>
      <c r="AE79" t="s">
        <v>6788</v>
      </c>
      <c r="AF79">
        <v>0</v>
      </c>
      <c r="AG79">
        <v>1</v>
      </c>
      <c r="AH79">
        <v>1</v>
      </c>
      <c r="AI79">
        <v>0</v>
      </c>
      <c r="AL79" t="s">
        <v>6801</v>
      </c>
      <c r="AM79">
        <v>0</v>
      </c>
    </row>
    <row r="80" spans="1:40">
      <c r="A80" s="1">
        <f>HYPERLINK("https://lsnyc.legalserver.org/matter/dynamic-profile/view/1908112","19-1908112")</f>
        <v>0</v>
      </c>
      <c r="B80" t="s">
        <v>77</v>
      </c>
      <c r="C80" t="s">
        <v>193</v>
      </c>
      <c r="D80" t="s">
        <v>279</v>
      </c>
      <c r="E80" t="s">
        <v>451</v>
      </c>
      <c r="F80" t="s">
        <v>1326</v>
      </c>
      <c r="G80" t="s">
        <v>2226</v>
      </c>
      <c r="H80" t="s">
        <v>3141</v>
      </c>
      <c r="I80" t="s">
        <v>3493</v>
      </c>
      <c r="J80">
        <v>10463</v>
      </c>
      <c r="K80" t="s">
        <v>3522</v>
      </c>
      <c r="L80" t="s">
        <v>3525</v>
      </c>
      <c r="N80" t="s">
        <v>3554</v>
      </c>
      <c r="O80" t="s">
        <v>4135</v>
      </c>
      <c r="P80" t="s">
        <v>4142</v>
      </c>
      <c r="Q80" t="s">
        <v>4147</v>
      </c>
      <c r="T80" t="s">
        <v>4156</v>
      </c>
      <c r="V80" t="s">
        <v>224</v>
      </c>
      <c r="W80">
        <v>884.9400000000001</v>
      </c>
      <c r="X80" t="s">
        <v>4194</v>
      </c>
      <c r="AB80" t="s">
        <v>5699</v>
      </c>
      <c r="AC80">
        <v>0</v>
      </c>
      <c r="AE80" t="s">
        <v>3526</v>
      </c>
      <c r="AF80">
        <v>38</v>
      </c>
      <c r="AG80">
        <v>1</v>
      </c>
      <c r="AH80">
        <v>0</v>
      </c>
      <c r="AI80">
        <v>0</v>
      </c>
      <c r="AL80" t="s">
        <v>6801</v>
      </c>
      <c r="AM80">
        <v>0</v>
      </c>
    </row>
    <row r="81" spans="1:44">
      <c r="A81" s="1">
        <f>HYPERLINK("https://lsnyc.legalserver.org/matter/dynamic-profile/view/1903259","19-1903259")</f>
        <v>0</v>
      </c>
      <c r="B81" t="s">
        <v>78</v>
      </c>
      <c r="C81" t="s">
        <v>226</v>
      </c>
      <c r="E81" t="s">
        <v>452</v>
      </c>
      <c r="F81" t="s">
        <v>1327</v>
      </c>
      <c r="G81" t="s">
        <v>2227</v>
      </c>
      <c r="H81" t="s">
        <v>3149</v>
      </c>
      <c r="I81" t="s">
        <v>3493</v>
      </c>
      <c r="J81">
        <v>10462</v>
      </c>
      <c r="K81" t="s">
        <v>3522</v>
      </c>
      <c r="L81" t="s">
        <v>3527</v>
      </c>
      <c r="M81" t="s">
        <v>3575</v>
      </c>
      <c r="N81" t="s">
        <v>4109</v>
      </c>
      <c r="O81" t="s">
        <v>4132</v>
      </c>
      <c r="Q81" t="s">
        <v>4148</v>
      </c>
      <c r="R81" t="s">
        <v>3523</v>
      </c>
      <c r="T81" t="s">
        <v>4156</v>
      </c>
      <c r="U81" t="s">
        <v>4168</v>
      </c>
      <c r="V81" t="s">
        <v>269</v>
      </c>
      <c r="W81">
        <v>1700</v>
      </c>
      <c r="X81" t="s">
        <v>4194</v>
      </c>
      <c r="Y81" t="s">
        <v>4199</v>
      </c>
      <c r="Z81" t="s">
        <v>4283</v>
      </c>
      <c r="AA81" t="s">
        <v>5496</v>
      </c>
      <c r="AB81" t="s">
        <v>5700</v>
      </c>
      <c r="AC81">
        <v>4</v>
      </c>
      <c r="AD81" t="s">
        <v>5524</v>
      </c>
      <c r="AE81" t="s">
        <v>3526</v>
      </c>
      <c r="AF81">
        <v>3</v>
      </c>
      <c r="AG81">
        <v>1</v>
      </c>
      <c r="AH81">
        <v>1</v>
      </c>
      <c r="AI81">
        <v>0</v>
      </c>
      <c r="AJ81" t="s">
        <v>6795</v>
      </c>
      <c r="AK81" t="s">
        <v>6798</v>
      </c>
      <c r="AL81" t="s">
        <v>6802</v>
      </c>
      <c r="AM81">
        <v>0</v>
      </c>
    </row>
    <row r="82" spans="1:44">
      <c r="A82" s="1">
        <f>HYPERLINK("https://lsnyc.legalserver.org/matter/dynamic-profile/view/1901843","19-1901843")</f>
        <v>0</v>
      </c>
      <c r="B82" t="s">
        <v>79</v>
      </c>
      <c r="C82" t="s">
        <v>227</v>
      </c>
      <c r="D82" t="s">
        <v>227</v>
      </c>
      <c r="E82" t="s">
        <v>453</v>
      </c>
      <c r="F82" t="s">
        <v>1328</v>
      </c>
      <c r="G82" t="s">
        <v>2228</v>
      </c>
      <c r="H82" t="s">
        <v>3157</v>
      </c>
      <c r="I82" t="s">
        <v>3493</v>
      </c>
      <c r="J82">
        <v>10460</v>
      </c>
      <c r="K82" t="s">
        <v>3522</v>
      </c>
      <c r="L82" t="s">
        <v>3525</v>
      </c>
      <c r="M82" t="s">
        <v>3576</v>
      </c>
      <c r="N82" t="s">
        <v>4109</v>
      </c>
      <c r="O82" t="s">
        <v>4132</v>
      </c>
      <c r="P82" t="s">
        <v>4139</v>
      </c>
      <c r="Q82" t="s">
        <v>4147</v>
      </c>
      <c r="R82" t="s">
        <v>3523</v>
      </c>
      <c r="T82" t="s">
        <v>4156</v>
      </c>
      <c r="U82" t="s">
        <v>4170</v>
      </c>
      <c r="V82" t="s">
        <v>4175</v>
      </c>
      <c r="W82">
        <v>25</v>
      </c>
      <c r="X82" t="s">
        <v>4194</v>
      </c>
      <c r="Z82" t="s">
        <v>4284</v>
      </c>
      <c r="AB82" t="s">
        <v>5701</v>
      </c>
      <c r="AC82">
        <v>0</v>
      </c>
      <c r="AD82" t="s">
        <v>6776</v>
      </c>
      <c r="AE82" t="s">
        <v>4200</v>
      </c>
      <c r="AF82">
        <v>21</v>
      </c>
      <c r="AG82">
        <v>2</v>
      </c>
      <c r="AH82">
        <v>0</v>
      </c>
      <c r="AI82">
        <v>0</v>
      </c>
      <c r="AL82" t="s">
        <v>6801</v>
      </c>
      <c r="AM82">
        <v>0</v>
      </c>
    </row>
    <row r="83" spans="1:44">
      <c r="A83" s="1">
        <f>HYPERLINK("https://lsnyc.legalserver.org/matter/dynamic-profile/view/1906843","19-1906843")</f>
        <v>0</v>
      </c>
      <c r="B83" t="s">
        <v>77</v>
      </c>
      <c r="C83" t="s">
        <v>228</v>
      </c>
      <c r="D83" t="s">
        <v>279</v>
      </c>
      <c r="E83" t="s">
        <v>392</v>
      </c>
      <c r="F83" t="s">
        <v>1329</v>
      </c>
      <c r="G83" t="s">
        <v>2229</v>
      </c>
      <c r="H83" t="s">
        <v>3149</v>
      </c>
      <c r="I83" t="s">
        <v>3493</v>
      </c>
      <c r="J83">
        <v>10459</v>
      </c>
      <c r="K83" t="s">
        <v>3522</v>
      </c>
      <c r="L83" t="s">
        <v>3525</v>
      </c>
      <c r="N83" t="s">
        <v>3554</v>
      </c>
      <c r="O83" t="s">
        <v>4135</v>
      </c>
      <c r="P83" t="s">
        <v>4142</v>
      </c>
      <c r="Q83" t="s">
        <v>4147</v>
      </c>
      <c r="R83" t="s">
        <v>3523</v>
      </c>
      <c r="T83" t="s">
        <v>4156</v>
      </c>
      <c r="V83" t="s">
        <v>279</v>
      </c>
      <c r="W83">
        <v>1750</v>
      </c>
      <c r="X83" t="s">
        <v>4194</v>
      </c>
      <c r="Y83" t="s">
        <v>4201</v>
      </c>
      <c r="Z83" t="s">
        <v>4285</v>
      </c>
      <c r="AB83" t="s">
        <v>5702</v>
      </c>
      <c r="AC83">
        <v>0</v>
      </c>
      <c r="AD83" t="s">
        <v>5524</v>
      </c>
      <c r="AE83" t="s">
        <v>3526</v>
      </c>
      <c r="AF83">
        <v>1</v>
      </c>
      <c r="AG83">
        <v>2</v>
      </c>
      <c r="AH83">
        <v>0</v>
      </c>
      <c r="AI83">
        <v>0</v>
      </c>
      <c r="AL83" t="s">
        <v>6801</v>
      </c>
      <c r="AM83">
        <v>0</v>
      </c>
    </row>
    <row r="84" spans="1:44">
      <c r="A84" s="1">
        <f>HYPERLINK("https://lsnyc.legalserver.org/matter/dynamic-profile/view/1892178","19-1892178")</f>
        <v>0</v>
      </c>
      <c r="B84" t="s">
        <v>80</v>
      </c>
      <c r="C84" t="s">
        <v>229</v>
      </c>
      <c r="E84" t="s">
        <v>454</v>
      </c>
      <c r="F84" t="s">
        <v>1265</v>
      </c>
      <c r="G84" t="s">
        <v>2230</v>
      </c>
      <c r="H84" t="s">
        <v>3163</v>
      </c>
      <c r="I84" t="s">
        <v>3493</v>
      </c>
      <c r="J84">
        <v>10458</v>
      </c>
      <c r="K84" t="s">
        <v>3523</v>
      </c>
      <c r="L84" t="s">
        <v>3526</v>
      </c>
      <c r="N84" t="s">
        <v>4113</v>
      </c>
      <c r="O84" t="s">
        <v>4135</v>
      </c>
      <c r="Q84" t="s">
        <v>4147</v>
      </c>
      <c r="R84" t="s">
        <v>3523</v>
      </c>
      <c r="T84" t="s">
        <v>4156</v>
      </c>
      <c r="V84" t="s">
        <v>279</v>
      </c>
      <c r="W84">
        <v>0</v>
      </c>
      <c r="X84" t="s">
        <v>4194</v>
      </c>
      <c r="AC84">
        <v>22</v>
      </c>
      <c r="AF84">
        <v>0</v>
      </c>
      <c r="AG84">
        <v>1</v>
      </c>
      <c r="AH84">
        <v>0</v>
      </c>
      <c r="AI84">
        <v>0</v>
      </c>
      <c r="AL84" t="s">
        <v>6801</v>
      </c>
      <c r="AM84">
        <v>0</v>
      </c>
      <c r="AN84" t="s">
        <v>6826</v>
      </c>
    </row>
    <row r="85" spans="1:44">
      <c r="A85" s="1">
        <f>HYPERLINK("https://lsnyc.legalserver.org/matter/dynamic-profile/view/1910070","19-1910070")</f>
        <v>0</v>
      </c>
      <c r="B85" t="s">
        <v>81</v>
      </c>
      <c r="C85" t="s">
        <v>230</v>
      </c>
      <c r="E85" t="s">
        <v>388</v>
      </c>
      <c r="F85" t="s">
        <v>1330</v>
      </c>
      <c r="G85" t="s">
        <v>2231</v>
      </c>
      <c r="H85" t="s">
        <v>3164</v>
      </c>
      <c r="I85" t="s">
        <v>3493</v>
      </c>
      <c r="J85">
        <v>10457</v>
      </c>
      <c r="K85" t="s">
        <v>3522</v>
      </c>
      <c r="L85" t="s">
        <v>3525</v>
      </c>
      <c r="N85" t="s">
        <v>4110</v>
      </c>
      <c r="O85" t="s">
        <v>4135</v>
      </c>
      <c r="Q85" t="s">
        <v>4147</v>
      </c>
      <c r="R85" t="s">
        <v>3523</v>
      </c>
      <c r="T85" t="s">
        <v>4156</v>
      </c>
      <c r="V85" t="s">
        <v>203</v>
      </c>
      <c r="W85">
        <v>1167</v>
      </c>
      <c r="X85" t="s">
        <v>4194</v>
      </c>
      <c r="Y85" t="s">
        <v>4206</v>
      </c>
      <c r="Z85" t="s">
        <v>4286</v>
      </c>
      <c r="AC85">
        <v>95</v>
      </c>
      <c r="AD85" t="s">
        <v>6772</v>
      </c>
      <c r="AE85" t="s">
        <v>3526</v>
      </c>
      <c r="AF85">
        <v>23</v>
      </c>
      <c r="AG85">
        <v>1</v>
      </c>
      <c r="AH85">
        <v>0</v>
      </c>
      <c r="AI85">
        <v>0</v>
      </c>
      <c r="AL85" t="s">
        <v>6801</v>
      </c>
      <c r="AM85">
        <v>0</v>
      </c>
    </row>
    <row r="86" spans="1:44">
      <c r="A86" s="1">
        <f>HYPERLINK("https://lsnyc.legalserver.org/matter/dynamic-profile/view/1910837","19-1910837")</f>
        <v>0</v>
      </c>
      <c r="B86" t="s">
        <v>77</v>
      </c>
      <c r="C86" t="s">
        <v>177</v>
      </c>
      <c r="D86" t="s">
        <v>267</v>
      </c>
      <c r="E86" t="s">
        <v>455</v>
      </c>
      <c r="F86" t="s">
        <v>1331</v>
      </c>
      <c r="G86" t="s">
        <v>2232</v>
      </c>
      <c r="I86" t="s">
        <v>3493</v>
      </c>
      <c r="J86">
        <v>10457</v>
      </c>
      <c r="K86" t="s">
        <v>3522</v>
      </c>
      <c r="L86" t="s">
        <v>3525</v>
      </c>
      <c r="N86" t="s">
        <v>3554</v>
      </c>
      <c r="O86" t="s">
        <v>4132</v>
      </c>
      <c r="P86" t="s">
        <v>4139</v>
      </c>
      <c r="Q86" t="s">
        <v>4147</v>
      </c>
      <c r="R86" t="s">
        <v>3523</v>
      </c>
      <c r="T86" t="s">
        <v>4156</v>
      </c>
      <c r="V86" t="s">
        <v>198</v>
      </c>
      <c r="W86">
        <v>944</v>
      </c>
      <c r="X86" t="s">
        <v>4194</v>
      </c>
      <c r="Y86" t="s">
        <v>4206</v>
      </c>
      <c r="Z86" t="s">
        <v>4287</v>
      </c>
      <c r="AC86">
        <v>47</v>
      </c>
      <c r="AD86" t="s">
        <v>6772</v>
      </c>
      <c r="AE86" t="s">
        <v>3526</v>
      </c>
      <c r="AF86">
        <v>24</v>
      </c>
      <c r="AG86">
        <v>2</v>
      </c>
      <c r="AH86">
        <v>0</v>
      </c>
      <c r="AI86">
        <v>0</v>
      </c>
      <c r="AL86" t="s">
        <v>6801</v>
      </c>
      <c r="AM86">
        <v>0</v>
      </c>
    </row>
    <row r="87" spans="1:44">
      <c r="A87" s="1">
        <f>HYPERLINK("https://lsnyc.legalserver.org/matter/dynamic-profile/view/1909649","19-1909649")</f>
        <v>0</v>
      </c>
      <c r="B87" t="s">
        <v>77</v>
      </c>
      <c r="C87" t="s">
        <v>231</v>
      </c>
      <c r="D87" t="s">
        <v>269</v>
      </c>
      <c r="E87" t="s">
        <v>402</v>
      </c>
      <c r="F87" t="s">
        <v>1332</v>
      </c>
      <c r="G87" t="s">
        <v>2233</v>
      </c>
      <c r="H87">
        <v>45</v>
      </c>
      <c r="I87" t="s">
        <v>3493</v>
      </c>
      <c r="J87">
        <v>10456</v>
      </c>
      <c r="K87" t="s">
        <v>3522</v>
      </c>
      <c r="L87" t="s">
        <v>3525</v>
      </c>
      <c r="N87" t="s">
        <v>3554</v>
      </c>
      <c r="O87" t="s">
        <v>4132</v>
      </c>
      <c r="P87" t="s">
        <v>4139</v>
      </c>
      <c r="Q87" t="s">
        <v>4147</v>
      </c>
      <c r="R87" t="s">
        <v>3523</v>
      </c>
      <c r="T87" t="s">
        <v>4156</v>
      </c>
      <c r="V87" t="s">
        <v>201</v>
      </c>
      <c r="W87">
        <v>0</v>
      </c>
      <c r="X87" t="s">
        <v>4194</v>
      </c>
      <c r="Z87" t="s">
        <v>4288</v>
      </c>
      <c r="AB87" t="s">
        <v>5703</v>
      </c>
      <c r="AC87">
        <v>0</v>
      </c>
      <c r="AE87" t="s">
        <v>3526</v>
      </c>
      <c r="AF87">
        <v>30</v>
      </c>
      <c r="AG87">
        <v>1</v>
      </c>
      <c r="AH87">
        <v>0</v>
      </c>
      <c r="AI87">
        <v>0</v>
      </c>
      <c r="AL87" t="s">
        <v>6802</v>
      </c>
      <c r="AM87">
        <v>0</v>
      </c>
    </row>
    <row r="88" spans="1:44">
      <c r="A88" s="1">
        <f>HYPERLINK("https://lsnyc.legalserver.org/matter/dynamic-profile/view/1901015","19-1901015")</f>
        <v>0</v>
      </c>
      <c r="B88" t="s">
        <v>75</v>
      </c>
      <c r="C88" t="s">
        <v>232</v>
      </c>
      <c r="E88" t="s">
        <v>456</v>
      </c>
      <c r="F88" t="s">
        <v>1333</v>
      </c>
      <c r="G88" t="s">
        <v>2234</v>
      </c>
      <c r="H88" t="s">
        <v>3165</v>
      </c>
      <c r="I88" t="s">
        <v>3493</v>
      </c>
      <c r="J88">
        <v>10455</v>
      </c>
      <c r="K88" t="s">
        <v>3522</v>
      </c>
      <c r="L88" t="s">
        <v>3525</v>
      </c>
      <c r="M88" t="s">
        <v>3577</v>
      </c>
      <c r="N88" t="s">
        <v>4108</v>
      </c>
      <c r="O88" t="s">
        <v>4134</v>
      </c>
      <c r="Q88" t="s">
        <v>4147</v>
      </c>
      <c r="T88" t="s">
        <v>4156</v>
      </c>
      <c r="V88" t="s">
        <v>253</v>
      </c>
      <c r="W88">
        <v>1421</v>
      </c>
      <c r="X88" t="s">
        <v>4194</v>
      </c>
      <c r="Z88" t="s">
        <v>4289</v>
      </c>
      <c r="AB88" t="s">
        <v>5704</v>
      </c>
      <c r="AC88">
        <v>49</v>
      </c>
      <c r="AD88" t="s">
        <v>6772</v>
      </c>
      <c r="AE88" t="s">
        <v>3526</v>
      </c>
      <c r="AF88">
        <v>5</v>
      </c>
      <c r="AG88">
        <v>2</v>
      </c>
      <c r="AH88">
        <v>0</v>
      </c>
      <c r="AI88">
        <v>0</v>
      </c>
      <c r="AL88" t="s">
        <v>6802</v>
      </c>
      <c r="AM88">
        <v>0</v>
      </c>
    </row>
    <row r="89" spans="1:44">
      <c r="A89" s="1">
        <f>HYPERLINK("https://lsnyc.legalserver.org/matter/dynamic-profile/view/1910321","19-1910321")</f>
        <v>0</v>
      </c>
      <c r="B89" t="s">
        <v>82</v>
      </c>
      <c r="C89" t="s">
        <v>233</v>
      </c>
      <c r="E89" t="s">
        <v>457</v>
      </c>
      <c r="F89" t="s">
        <v>1334</v>
      </c>
      <c r="G89" t="s">
        <v>2235</v>
      </c>
      <c r="H89">
        <v>23</v>
      </c>
      <c r="I89" t="s">
        <v>3493</v>
      </c>
      <c r="J89">
        <v>10455</v>
      </c>
      <c r="K89" t="s">
        <v>3522</v>
      </c>
      <c r="L89" t="s">
        <v>3525</v>
      </c>
      <c r="M89" t="s">
        <v>3578</v>
      </c>
      <c r="N89" t="s">
        <v>4109</v>
      </c>
      <c r="O89" t="s">
        <v>4134</v>
      </c>
      <c r="Q89" t="s">
        <v>4148</v>
      </c>
      <c r="R89" t="s">
        <v>3523</v>
      </c>
      <c r="T89" t="s">
        <v>4156</v>
      </c>
      <c r="U89" t="s">
        <v>4168</v>
      </c>
      <c r="V89" t="s">
        <v>314</v>
      </c>
      <c r="W89">
        <v>1272</v>
      </c>
      <c r="X89" t="s">
        <v>4194</v>
      </c>
      <c r="Y89" t="s">
        <v>4199</v>
      </c>
      <c r="Z89" t="s">
        <v>4290</v>
      </c>
      <c r="AB89" t="s">
        <v>5705</v>
      </c>
      <c r="AC89">
        <v>41</v>
      </c>
      <c r="AD89" t="s">
        <v>6772</v>
      </c>
      <c r="AF89">
        <v>13</v>
      </c>
      <c r="AG89">
        <v>2</v>
      </c>
      <c r="AH89">
        <v>1</v>
      </c>
      <c r="AI89">
        <v>0</v>
      </c>
      <c r="AJ89" t="s">
        <v>6795</v>
      </c>
      <c r="AK89" t="s">
        <v>6798</v>
      </c>
      <c r="AL89" t="s">
        <v>6802</v>
      </c>
      <c r="AM89">
        <v>0</v>
      </c>
    </row>
    <row r="90" spans="1:44">
      <c r="A90" s="1">
        <f>HYPERLINK("https://lsnyc.legalserver.org/matter/dynamic-profile/view/1909129","19-1909129")</f>
        <v>0</v>
      </c>
      <c r="B90" t="s">
        <v>73</v>
      </c>
      <c r="C90" t="s">
        <v>234</v>
      </c>
      <c r="D90" t="s">
        <v>215</v>
      </c>
      <c r="E90" t="s">
        <v>458</v>
      </c>
      <c r="F90" t="s">
        <v>1335</v>
      </c>
      <c r="G90" t="s">
        <v>2236</v>
      </c>
      <c r="H90" t="s">
        <v>3166</v>
      </c>
      <c r="I90" t="s">
        <v>3493</v>
      </c>
      <c r="J90">
        <v>10452</v>
      </c>
      <c r="K90" t="s">
        <v>3522</v>
      </c>
      <c r="L90" t="s">
        <v>3525</v>
      </c>
      <c r="N90" t="s">
        <v>3554</v>
      </c>
      <c r="O90" t="s">
        <v>4135</v>
      </c>
      <c r="P90" t="s">
        <v>4142</v>
      </c>
      <c r="Q90" t="s">
        <v>4147</v>
      </c>
      <c r="R90" t="s">
        <v>3523</v>
      </c>
      <c r="T90" t="s">
        <v>4156</v>
      </c>
      <c r="V90" t="s">
        <v>201</v>
      </c>
      <c r="W90">
        <v>1428.24</v>
      </c>
      <c r="X90" t="s">
        <v>4194</v>
      </c>
      <c r="Y90" t="s">
        <v>4201</v>
      </c>
      <c r="Z90" t="s">
        <v>4291</v>
      </c>
      <c r="AC90">
        <v>92</v>
      </c>
      <c r="AD90" t="s">
        <v>6772</v>
      </c>
      <c r="AE90" t="s">
        <v>6786</v>
      </c>
      <c r="AF90">
        <v>9</v>
      </c>
      <c r="AG90">
        <v>2</v>
      </c>
      <c r="AH90">
        <v>0</v>
      </c>
      <c r="AI90">
        <v>0</v>
      </c>
      <c r="AL90" t="s">
        <v>6801</v>
      </c>
      <c r="AM90">
        <v>0</v>
      </c>
    </row>
    <row r="91" spans="1:44">
      <c r="A91" s="1">
        <f>HYPERLINK("https://lsnyc.legalserver.org/matter/dynamic-profile/view/1906737","19-1906737")</f>
        <v>0</v>
      </c>
      <c r="B91" t="s">
        <v>83</v>
      </c>
      <c r="C91" t="s">
        <v>235</v>
      </c>
      <c r="D91" t="s">
        <v>217</v>
      </c>
      <c r="E91" t="s">
        <v>459</v>
      </c>
      <c r="F91" t="s">
        <v>1336</v>
      </c>
      <c r="G91" t="s">
        <v>2237</v>
      </c>
      <c r="I91" t="s">
        <v>3493</v>
      </c>
      <c r="J91">
        <v>10452</v>
      </c>
      <c r="K91" t="s">
        <v>3522</v>
      </c>
      <c r="L91" t="s">
        <v>3525</v>
      </c>
      <c r="M91" t="s">
        <v>3579</v>
      </c>
      <c r="N91" t="s">
        <v>4109</v>
      </c>
      <c r="O91" t="s">
        <v>4132</v>
      </c>
      <c r="P91" t="s">
        <v>4139</v>
      </c>
      <c r="Q91" t="s">
        <v>4147</v>
      </c>
      <c r="R91" t="s">
        <v>3523</v>
      </c>
      <c r="T91" t="s">
        <v>4156</v>
      </c>
      <c r="U91" t="s">
        <v>4168</v>
      </c>
      <c r="V91" t="s">
        <v>217</v>
      </c>
      <c r="W91">
        <v>705.35</v>
      </c>
      <c r="X91" t="s">
        <v>4194</v>
      </c>
      <c r="Y91" t="s">
        <v>4201</v>
      </c>
      <c r="Z91" t="s">
        <v>4292</v>
      </c>
      <c r="AC91">
        <v>55</v>
      </c>
      <c r="AD91" t="s">
        <v>6772</v>
      </c>
      <c r="AF91">
        <v>28</v>
      </c>
      <c r="AG91">
        <v>1</v>
      </c>
      <c r="AH91">
        <v>0</v>
      </c>
      <c r="AI91">
        <v>0</v>
      </c>
      <c r="AL91" t="s">
        <v>6801</v>
      </c>
      <c r="AM91">
        <v>0</v>
      </c>
    </row>
    <row r="92" spans="1:44">
      <c r="A92" s="1">
        <f>HYPERLINK("https://lsnyc.legalserver.org/matter/dynamic-profile/view/1908824","19-1908824")</f>
        <v>0</v>
      </c>
      <c r="B92" t="s">
        <v>84</v>
      </c>
      <c r="C92" t="s">
        <v>236</v>
      </c>
      <c r="D92" t="s">
        <v>236</v>
      </c>
      <c r="E92" t="s">
        <v>460</v>
      </c>
      <c r="F92" t="s">
        <v>1337</v>
      </c>
      <c r="G92" t="s">
        <v>2238</v>
      </c>
      <c r="I92" t="s">
        <v>3494</v>
      </c>
      <c r="J92">
        <v>10310</v>
      </c>
      <c r="K92" t="s">
        <v>3522</v>
      </c>
      <c r="L92" t="s">
        <v>3525</v>
      </c>
      <c r="M92" t="s">
        <v>3562</v>
      </c>
      <c r="N92" t="s">
        <v>3554</v>
      </c>
      <c r="O92" t="s">
        <v>4132</v>
      </c>
      <c r="P92" t="s">
        <v>4139</v>
      </c>
      <c r="Q92" t="s">
        <v>4148</v>
      </c>
      <c r="R92" t="s">
        <v>3523</v>
      </c>
      <c r="T92" t="s">
        <v>4156</v>
      </c>
      <c r="U92" t="s">
        <v>4168</v>
      </c>
      <c r="V92" t="s">
        <v>236</v>
      </c>
      <c r="W92">
        <v>1275</v>
      </c>
      <c r="X92" t="s">
        <v>4195</v>
      </c>
      <c r="Y92" t="s">
        <v>4199</v>
      </c>
      <c r="Z92" t="s">
        <v>4293</v>
      </c>
      <c r="AA92" t="s">
        <v>3562</v>
      </c>
      <c r="AB92" t="s">
        <v>5706</v>
      </c>
      <c r="AC92">
        <v>2</v>
      </c>
      <c r="AD92" t="s">
        <v>5524</v>
      </c>
      <c r="AE92" t="s">
        <v>3526</v>
      </c>
      <c r="AF92">
        <v>5</v>
      </c>
      <c r="AG92">
        <v>1</v>
      </c>
      <c r="AH92">
        <v>2</v>
      </c>
      <c r="AI92">
        <v>0</v>
      </c>
      <c r="AJ92" t="s">
        <v>6795</v>
      </c>
      <c r="AK92" t="s">
        <v>6798</v>
      </c>
      <c r="AL92" t="s">
        <v>6801</v>
      </c>
      <c r="AM92">
        <v>0</v>
      </c>
      <c r="AQ92" t="s">
        <v>6945</v>
      </c>
      <c r="AR92" t="s">
        <v>6953</v>
      </c>
    </row>
    <row r="93" spans="1:44">
      <c r="A93" s="1">
        <f>HYPERLINK("https://lsnyc.legalserver.org/matter/dynamic-profile/view/1912414","19-1912414")</f>
        <v>0</v>
      </c>
      <c r="B93" t="s">
        <v>85</v>
      </c>
      <c r="C93" t="s">
        <v>237</v>
      </c>
      <c r="E93" t="s">
        <v>461</v>
      </c>
      <c r="F93" t="s">
        <v>1338</v>
      </c>
      <c r="G93" t="s">
        <v>2239</v>
      </c>
      <c r="I93" t="s">
        <v>3494</v>
      </c>
      <c r="J93">
        <v>10309</v>
      </c>
      <c r="K93" t="s">
        <v>3522</v>
      </c>
      <c r="L93" t="s">
        <v>3525</v>
      </c>
      <c r="M93" t="s">
        <v>3580</v>
      </c>
      <c r="N93" t="s">
        <v>4107</v>
      </c>
      <c r="O93" t="s">
        <v>4132</v>
      </c>
      <c r="Q93" t="s">
        <v>4148</v>
      </c>
      <c r="R93" t="s">
        <v>3523</v>
      </c>
      <c r="T93" t="s">
        <v>4156</v>
      </c>
      <c r="V93" t="s">
        <v>359</v>
      </c>
      <c r="W93">
        <v>0</v>
      </c>
      <c r="X93" t="s">
        <v>4195</v>
      </c>
      <c r="Y93" t="s">
        <v>4199</v>
      </c>
      <c r="Z93" t="s">
        <v>4294</v>
      </c>
      <c r="AC93">
        <v>1</v>
      </c>
      <c r="AD93" t="s">
        <v>6771</v>
      </c>
      <c r="AE93" t="s">
        <v>3526</v>
      </c>
      <c r="AF93">
        <v>6</v>
      </c>
      <c r="AG93">
        <v>1</v>
      </c>
      <c r="AH93">
        <v>1</v>
      </c>
      <c r="AI93">
        <v>0</v>
      </c>
      <c r="AJ93" t="s">
        <v>6795</v>
      </c>
      <c r="AK93" t="s">
        <v>6798</v>
      </c>
      <c r="AL93" t="s">
        <v>6801</v>
      </c>
      <c r="AM93">
        <v>0</v>
      </c>
    </row>
    <row r="94" spans="1:44">
      <c r="A94" s="1">
        <f>HYPERLINK("https://lsnyc.legalserver.org/matter/dynamic-profile/view/1908836","19-1908836")</f>
        <v>0</v>
      </c>
      <c r="B94" t="s">
        <v>84</v>
      </c>
      <c r="C94" t="s">
        <v>236</v>
      </c>
      <c r="D94" t="s">
        <v>203</v>
      </c>
      <c r="E94" t="s">
        <v>462</v>
      </c>
      <c r="F94" t="s">
        <v>1339</v>
      </c>
      <c r="G94" t="s">
        <v>2240</v>
      </c>
      <c r="I94" t="s">
        <v>3494</v>
      </c>
      <c r="J94">
        <v>10305</v>
      </c>
      <c r="K94" t="s">
        <v>3522</v>
      </c>
      <c r="L94" t="s">
        <v>3525</v>
      </c>
      <c r="M94" t="s">
        <v>3553</v>
      </c>
      <c r="N94" t="s">
        <v>3554</v>
      </c>
      <c r="O94" t="s">
        <v>4132</v>
      </c>
      <c r="P94" t="s">
        <v>4139</v>
      </c>
      <c r="Q94" t="s">
        <v>4148</v>
      </c>
      <c r="R94" t="s">
        <v>3523</v>
      </c>
      <c r="T94" t="s">
        <v>4159</v>
      </c>
      <c r="V94" t="s">
        <v>236</v>
      </c>
      <c r="W94">
        <v>0</v>
      </c>
      <c r="X94" t="s">
        <v>4195</v>
      </c>
      <c r="Y94" t="s">
        <v>4199</v>
      </c>
      <c r="Z94" t="s">
        <v>4295</v>
      </c>
      <c r="AB94" t="s">
        <v>5707</v>
      </c>
      <c r="AC94">
        <v>1</v>
      </c>
      <c r="AD94" t="s">
        <v>6771</v>
      </c>
      <c r="AE94" t="s">
        <v>3526</v>
      </c>
      <c r="AF94">
        <v>0</v>
      </c>
      <c r="AG94">
        <v>4</v>
      </c>
      <c r="AH94">
        <v>2</v>
      </c>
      <c r="AI94">
        <v>0</v>
      </c>
      <c r="AJ94" t="s">
        <v>6795</v>
      </c>
      <c r="AK94" t="s">
        <v>6798</v>
      </c>
      <c r="AL94" t="s">
        <v>6801</v>
      </c>
      <c r="AM94">
        <v>0</v>
      </c>
      <c r="AP94" t="s">
        <v>4200</v>
      </c>
      <c r="AR94" t="s">
        <v>6953</v>
      </c>
    </row>
    <row r="95" spans="1:44">
      <c r="A95" s="1">
        <f>HYPERLINK("https://lsnyc.legalserver.org/matter/dynamic-profile/view/1913271","19-1913271")</f>
        <v>0</v>
      </c>
      <c r="B95" t="s">
        <v>84</v>
      </c>
      <c r="C95" t="s">
        <v>238</v>
      </c>
      <c r="D95" t="s">
        <v>200</v>
      </c>
      <c r="E95" t="s">
        <v>463</v>
      </c>
      <c r="F95" t="s">
        <v>1340</v>
      </c>
      <c r="G95" t="s">
        <v>2241</v>
      </c>
      <c r="H95" t="s">
        <v>3167</v>
      </c>
      <c r="I95" t="s">
        <v>3494</v>
      </c>
      <c r="J95">
        <v>10305</v>
      </c>
      <c r="K95" t="s">
        <v>3522</v>
      </c>
      <c r="L95" t="s">
        <v>3525</v>
      </c>
      <c r="M95" t="s">
        <v>3581</v>
      </c>
      <c r="N95" t="s">
        <v>4109</v>
      </c>
      <c r="O95" t="s">
        <v>4134</v>
      </c>
      <c r="P95" t="s">
        <v>4140</v>
      </c>
      <c r="Q95" t="s">
        <v>4147</v>
      </c>
      <c r="R95" t="s">
        <v>3523</v>
      </c>
      <c r="T95" t="s">
        <v>4156</v>
      </c>
      <c r="U95" t="s">
        <v>4168</v>
      </c>
      <c r="V95" t="s">
        <v>238</v>
      </c>
      <c r="W95">
        <v>1557</v>
      </c>
      <c r="X95" t="s">
        <v>4195</v>
      </c>
      <c r="Y95" t="s">
        <v>4209</v>
      </c>
      <c r="Z95" t="s">
        <v>4296</v>
      </c>
      <c r="AB95" t="s">
        <v>5708</v>
      </c>
      <c r="AC95">
        <v>2</v>
      </c>
      <c r="AD95" t="s">
        <v>6771</v>
      </c>
      <c r="AF95">
        <v>-1</v>
      </c>
      <c r="AG95">
        <v>1</v>
      </c>
      <c r="AH95">
        <v>1</v>
      </c>
      <c r="AI95">
        <v>0</v>
      </c>
      <c r="AL95" t="s">
        <v>6804</v>
      </c>
      <c r="AM95">
        <v>0</v>
      </c>
      <c r="AP95" t="s">
        <v>6924</v>
      </c>
      <c r="AQ95" t="s">
        <v>6945</v>
      </c>
      <c r="AR95" t="s">
        <v>6954</v>
      </c>
    </row>
    <row r="96" spans="1:44">
      <c r="A96" s="1">
        <f>HYPERLINK("https://lsnyc.legalserver.org/matter/dynamic-profile/view/1907746","19-1907746")</f>
        <v>0</v>
      </c>
      <c r="B96" t="s">
        <v>84</v>
      </c>
      <c r="C96" t="s">
        <v>222</v>
      </c>
      <c r="E96" t="s">
        <v>464</v>
      </c>
      <c r="F96" t="s">
        <v>1341</v>
      </c>
      <c r="G96" t="s">
        <v>2242</v>
      </c>
      <c r="H96" t="s">
        <v>3130</v>
      </c>
      <c r="I96" t="s">
        <v>3494</v>
      </c>
      <c r="J96">
        <v>10304</v>
      </c>
      <c r="K96" t="s">
        <v>3522</v>
      </c>
      <c r="L96" t="s">
        <v>3525</v>
      </c>
      <c r="M96" t="s">
        <v>3582</v>
      </c>
      <c r="N96" t="s">
        <v>4109</v>
      </c>
      <c r="O96" t="s">
        <v>4134</v>
      </c>
      <c r="Q96" t="s">
        <v>4147</v>
      </c>
      <c r="R96" t="s">
        <v>3523</v>
      </c>
      <c r="T96" t="s">
        <v>4156</v>
      </c>
      <c r="U96" t="s">
        <v>4168</v>
      </c>
      <c r="V96" t="s">
        <v>222</v>
      </c>
      <c r="W96">
        <v>529</v>
      </c>
      <c r="X96" t="s">
        <v>4195</v>
      </c>
      <c r="Y96" t="s">
        <v>4203</v>
      </c>
      <c r="Z96" t="s">
        <v>4297</v>
      </c>
      <c r="AB96" t="s">
        <v>5709</v>
      </c>
      <c r="AC96">
        <v>98</v>
      </c>
      <c r="AD96" t="s">
        <v>6772</v>
      </c>
      <c r="AE96" t="s">
        <v>3526</v>
      </c>
      <c r="AF96">
        <v>10</v>
      </c>
      <c r="AG96">
        <v>1</v>
      </c>
      <c r="AH96">
        <v>3</v>
      </c>
      <c r="AI96">
        <v>0</v>
      </c>
      <c r="AL96" t="s">
        <v>6801</v>
      </c>
      <c r="AM96">
        <v>0</v>
      </c>
      <c r="AP96" t="s">
        <v>6926</v>
      </c>
      <c r="AQ96" t="s">
        <v>6945</v>
      </c>
      <c r="AR96" t="s">
        <v>6955</v>
      </c>
    </row>
    <row r="97" spans="1:39">
      <c r="A97" s="1">
        <f>HYPERLINK("https://lsnyc.legalserver.org/matter/dynamic-profile/view/1914073","19-1914073")</f>
        <v>0</v>
      </c>
      <c r="B97" t="s">
        <v>86</v>
      </c>
      <c r="C97" t="s">
        <v>191</v>
      </c>
      <c r="E97" t="s">
        <v>465</v>
      </c>
      <c r="F97" t="s">
        <v>1342</v>
      </c>
      <c r="G97" t="s">
        <v>2243</v>
      </c>
      <c r="H97" t="s">
        <v>3168</v>
      </c>
      <c r="I97" t="s">
        <v>3495</v>
      </c>
      <c r="J97">
        <v>10128</v>
      </c>
      <c r="K97" t="s">
        <v>3522</v>
      </c>
      <c r="L97" t="s">
        <v>3525</v>
      </c>
      <c r="O97" t="s">
        <v>4136</v>
      </c>
      <c r="Q97" t="s">
        <v>4148</v>
      </c>
      <c r="R97" t="s">
        <v>3523</v>
      </c>
      <c r="T97" t="s">
        <v>4156</v>
      </c>
      <c r="V97" t="s">
        <v>301</v>
      </c>
      <c r="W97">
        <v>581.6</v>
      </c>
      <c r="X97" t="s">
        <v>4196</v>
      </c>
      <c r="Y97" t="s">
        <v>4199</v>
      </c>
      <c r="Z97" t="s">
        <v>4298</v>
      </c>
      <c r="AA97" t="s">
        <v>5497</v>
      </c>
      <c r="AB97" t="s">
        <v>5710</v>
      </c>
      <c r="AC97">
        <v>0</v>
      </c>
      <c r="AD97" t="s">
        <v>6777</v>
      </c>
      <c r="AE97" t="s">
        <v>3526</v>
      </c>
      <c r="AF97">
        <v>4</v>
      </c>
      <c r="AG97">
        <v>1</v>
      </c>
      <c r="AH97">
        <v>2</v>
      </c>
      <c r="AI97">
        <v>0</v>
      </c>
      <c r="AJ97" t="s">
        <v>6795</v>
      </c>
      <c r="AK97" t="s">
        <v>6798</v>
      </c>
      <c r="AL97" t="s">
        <v>6801</v>
      </c>
      <c r="AM97">
        <v>0</v>
      </c>
    </row>
    <row r="98" spans="1:39">
      <c r="A98" s="1">
        <f>HYPERLINK("https://lsnyc.legalserver.org/matter/dynamic-profile/view/1909283","19-1909283")</f>
        <v>0</v>
      </c>
      <c r="B98" t="s">
        <v>87</v>
      </c>
      <c r="C98" t="s">
        <v>197</v>
      </c>
      <c r="E98" t="s">
        <v>466</v>
      </c>
      <c r="F98" t="s">
        <v>1343</v>
      </c>
      <c r="G98" t="s">
        <v>2244</v>
      </c>
      <c r="H98" t="s">
        <v>3161</v>
      </c>
      <c r="I98" t="s">
        <v>3495</v>
      </c>
      <c r="J98">
        <v>10040</v>
      </c>
      <c r="K98" t="s">
        <v>3522</v>
      </c>
      <c r="L98" t="s">
        <v>3525</v>
      </c>
      <c r="M98" t="s">
        <v>3583</v>
      </c>
      <c r="N98" t="s">
        <v>4109</v>
      </c>
      <c r="O98" t="s">
        <v>4134</v>
      </c>
      <c r="Q98" t="s">
        <v>4147</v>
      </c>
      <c r="R98" t="s">
        <v>3523</v>
      </c>
      <c r="T98" t="s">
        <v>4156</v>
      </c>
      <c r="V98" t="s">
        <v>197</v>
      </c>
      <c r="W98">
        <v>843.6</v>
      </c>
      <c r="X98" t="s">
        <v>4196</v>
      </c>
      <c r="Y98" t="s">
        <v>4201</v>
      </c>
      <c r="Z98" t="s">
        <v>4299</v>
      </c>
      <c r="AB98" t="s">
        <v>5711</v>
      </c>
      <c r="AC98">
        <v>42</v>
      </c>
      <c r="AD98" t="s">
        <v>6772</v>
      </c>
      <c r="AE98" t="s">
        <v>6791</v>
      </c>
      <c r="AF98">
        <v>24</v>
      </c>
      <c r="AG98">
        <v>1</v>
      </c>
      <c r="AH98">
        <v>0</v>
      </c>
      <c r="AI98">
        <v>0</v>
      </c>
      <c r="AL98" t="s">
        <v>6802</v>
      </c>
      <c r="AM98">
        <v>0</v>
      </c>
    </row>
    <row r="99" spans="1:39">
      <c r="A99" s="1">
        <f>HYPERLINK("https://lsnyc.legalserver.org/matter/dynamic-profile/view/1909580","19-1909580")</f>
        <v>0</v>
      </c>
      <c r="B99" t="s">
        <v>88</v>
      </c>
      <c r="C99" t="s">
        <v>184</v>
      </c>
      <c r="E99" t="s">
        <v>466</v>
      </c>
      <c r="F99" t="s">
        <v>1343</v>
      </c>
      <c r="G99" t="s">
        <v>2244</v>
      </c>
      <c r="H99" t="s">
        <v>3161</v>
      </c>
      <c r="I99" t="s">
        <v>3495</v>
      </c>
      <c r="J99">
        <v>10040</v>
      </c>
      <c r="K99" t="s">
        <v>3522</v>
      </c>
      <c r="L99" t="s">
        <v>3525</v>
      </c>
      <c r="N99" t="s">
        <v>4116</v>
      </c>
      <c r="O99" t="s">
        <v>4135</v>
      </c>
      <c r="Q99" t="s">
        <v>4147</v>
      </c>
      <c r="R99" t="s">
        <v>3523</v>
      </c>
      <c r="T99" t="s">
        <v>4156</v>
      </c>
      <c r="V99" t="s">
        <v>184</v>
      </c>
      <c r="W99">
        <v>843.6</v>
      </c>
      <c r="X99" t="s">
        <v>4196</v>
      </c>
      <c r="Y99" t="s">
        <v>4201</v>
      </c>
      <c r="Z99" t="s">
        <v>4299</v>
      </c>
      <c r="AB99" t="s">
        <v>5711</v>
      </c>
      <c r="AC99">
        <v>42</v>
      </c>
      <c r="AD99" t="s">
        <v>6772</v>
      </c>
      <c r="AE99" t="s">
        <v>6791</v>
      </c>
      <c r="AF99">
        <v>24</v>
      </c>
      <c r="AG99">
        <v>1</v>
      </c>
      <c r="AH99">
        <v>0</v>
      </c>
      <c r="AI99">
        <v>0</v>
      </c>
      <c r="AL99" t="s">
        <v>6802</v>
      </c>
      <c r="AM99">
        <v>0</v>
      </c>
    </row>
    <row r="100" spans="1:39">
      <c r="A100" s="1">
        <f>HYPERLINK("https://lsnyc.legalserver.org/matter/dynamic-profile/view/1907584","19-1907584")</f>
        <v>0</v>
      </c>
      <c r="B100" t="s">
        <v>87</v>
      </c>
      <c r="C100" t="s">
        <v>239</v>
      </c>
      <c r="D100" t="s">
        <v>214</v>
      </c>
      <c r="E100" t="s">
        <v>467</v>
      </c>
      <c r="F100" t="s">
        <v>1344</v>
      </c>
      <c r="G100" t="s">
        <v>2245</v>
      </c>
      <c r="H100" t="s">
        <v>3169</v>
      </c>
      <c r="I100" t="s">
        <v>3495</v>
      </c>
      <c r="J100">
        <v>10040</v>
      </c>
      <c r="K100" t="s">
        <v>3522</v>
      </c>
      <c r="L100" t="s">
        <v>3525</v>
      </c>
      <c r="N100" t="s">
        <v>4113</v>
      </c>
      <c r="O100" t="s">
        <v>4132</v>
      </c>
      <c r="P100" t="s">
        <v>4139</v>
      </c>
      <c r="Q100" t="s">
        <v>4147</v>
      </c>
      <c r="R100" t="s">
        <v>3523</v>
      </c>
      <c r="T100" t="s">
        <v>4156</v>
      </c>
      <c r="V100" t="s">
        <v>239</v>
      </c>
      <c r="W100">
        <v>1013.38</v>
      </c>
      <c r="X100" t="s">
        <v>4196</v>
      </c>
      <c r="Y100" t="s">
        <v>4207</v>
      </c>
      <c r="Z100" t="s">
        <v>4300</v>
      </c>
      <c r="AB100" t="s">
        <v>5712</v>
      </c>
      <c r="AC100">
        <v>52</v>
      </c>
      <c r="AD100" t="s">
        <v>6772</v>
      </c>
      <c r="AE100" t="s">
        <v>3526</v>
      </c>
      <c r="AF100">
        <v>5</v>
      </c>
      <c r="AG100">
        <v>1</v>
      </c>
      <c r="AH100">
        <v>0</v>
      </c>
      <c r="AI100">
        <v>0</v>
      </c>
      <c r="AL100" t="s">
        <v>6802</v>
      </c>
      <c r="AM100">
        <v>0</v>
      </c>
    </row>
    <row r="101" spans="1:39">
      <c r="A101" s="1">
        <f>HYPERLINK("https://lsnyc.legalserver.org/matter/dynamic-profile/view/1913119","19-1913119")</f>
        <v>0</v>
      </c>
      <c r="B101" t="s">
        <v>89</v>
      </c>
      <c r="C101" t="s">
        <v>186</v>
      </c>
      <c r="E101" t="s">
        <v>468</v>
      </c>
      <c r="F101" t="s">
        <v>1345</v>
      </c>
      <c r="G101" t="s">
        <v>2246</v>
      </c>
      <c r="H101" t="s">
        <v>3170</v>
      </c>
      <c r="I101" t="s">
        <v>3495</v>
      </c>
      <c r="J101">
        <v>10040</v>
      </c>
      <c r="K101" t="s">
        <v>3522</v>
      </c>
      <c r="L101" t="s">
        <v>3525</v>
      </c>
      <c r="O101" t="s">
        <v>4136</v>
      </c>
      <c r="Q101" t="s">
        <v>4147</v>
      </c>
      <c r="R101" t="s">
        <v>3523</v>
      </c>
      <c r="T101" t="s">
        <v>4156</v>
      </c>
      <c r="V101" t="s">
        <v>186</v>
      </c>
      <c r="W101">
        <v>1075</v>
      </c>
      <c r="X101" t="s">
        <v>4196</v>
      </c>
      <c r="Y101" t="s">
        <v>4205</v>
      </c>
      <c r="Z101" t="s">
        <v>4301</v>
      </c>
      <c r="AB101" t="s">
        <v>5713</v>
      </c>
      <c r="AC101">
        <v>150</v>
      </c>
      <c r="AD101" t="s">
        <v>6772</v>
      </c>
      <c r="AE101" t="s">
        <v>3526</v>
      </c>
      <c r="AF101">
        <v>3</v>
      </c>
      <c r="AG101">
        <v>1</v>
      </c>
      <c r="AH101">
        <v>0</v>
      </c>
      <c r="AI101">
        <v>0</v>
      </c>
      <c r="AL101" t="s">
        <v>6801</v>
      </c>
      <c r="AM101">
        <v>0</v>
      </c>
    </row>
    <row r="102" spans="1:39">
      <c r="A102" s="1">
        <f>HYPERLINK("https://lsnyc.legalserver.org/matter/dynamic-profile/view/1916144","19-1916144")</f>
        <v>0</v>
      </c>
      <c r="B102" t="s">
        <v>90</v>
      </c>
      <c r="C102" t="s">
        <v>240</v>
      </c>
      <c r="E102" t="s">
        <v>469</v>
      </c>
      <c r="F102" t="s">
        <v>1346</v>
      </c>
      <c r="G102" t="s">
        <v>2247</v>
      </c>
      <c r="H102">
        <v>52</v>
      </c>
      <c r="I102" t="s">
        <v>3495</v>
      </c>
      <c r="J102">
        <v>10040</v>
      </c>
      <c r="K102" t="s">
        <v>3523</v>
      </c>
      <c r="O102" t="s">
        <v>4136</v>
      </c>
      <c r="Q102" t="s">
        <v>4147</v>
      </c>
      <c r="R102" t="s">
        <v>3523</v>
      </c>
      <c r="T102" t="s">
        <v>4156</v>
      </c>
      <c r="V102" t="s">
        <v>240</v>
      </c>
      <c r="W102">
        <v>2364.95</v>
      </c>
      <c r="X102" t="s">
        <v>4196</v>
      </c>
      <c r="Y102" t="s">
        <v>4198</v>
      </c>
      <c r="Z102" t="s">
        <v>4302</v>
      </c>
      <c r="AC102">
        <v>0</v>
      </c>
      <c r="AD102" t="s">
        <v>6772</v>
      </c>
      <c r="AE102" t="s">
        <v>3526</v>
      </c>
      <c r="AF102">
        <v>3</v>
      </c>
      <c r="AG102">
        <v>1</v>
      </c>
      <c r="AH102">
        <v>0</v>
      </c>
      <c r="AI102">
        <v>0</v>
      </c>
      <c r="AL102" t="s">
        <v>6801</v>
      </c>
      <c r="AM102">
        <v>0</v>
      </c>
    </row>
    <row r="103" spans="1:39">
      <c r="A103" s="1">
        <f>HYPERLINK("https://lsnyc.legalserver.org/matter/dynamic-profile/view/1906412","19-1906412")</f>
        <v>0</v>
      </c>
      <c r="B103" t="s">
        <v>87</v>
      </c>
      <c r="C103" t="s">
        <v>241</v>
      </c>
      <c r="D103" t="s">
        <v>214</v>
      </c>
      <c r="E103" t="s">
        <v>470</v>
      </c>
      <c r="F103" t="s">
        <v>1347</v>
      </c>
      <c r="G103" t="s">
        <v>2248</v>
      </c>
      <c r="H103" t="s">
        <v>3171</v>
      </c>
      <c r="I103" t="s">
        <v>3495</v>
      </c>
      <c r="J103">
        <v>10038</v>
      </c>
      <c r="K103" t="s">
        <v>3522</v>
      </c>
      <c r="L103" t="s">
        <v>3525</v>
      </c>
      <c r="N103" t="s">
        <v>3554</v>
      </c>
      <c r="O103" t="s">
        <v>4132</v>
      </c>
      <c r="P103" t="s">
        <v>4139</v>
      </c>
      <c r="Q103" t="s">
        <v>4148</v>
      </c>
      <c r="R103" t="s">
        <v>3523</v>
      </c>
      <c r="T103" t="s">
        <v>4156</v>
      </c>
      <c r="V103" t="s">
        <v>241</v>
      </c>
      <c r="W103">
        <v>3200</v>
      </c>
      <c r="X103" t="s">
        <v>4196</v>
      </c>
      <c r="Y103" t="s">
        <v>4199</v>
      </c>
      <c r="Z103" t="s">
        <v>4303</v>
      </c>
      <c r="AB103" t="s">
        <v>5714</v>
      </c>
      <c r="AC103">
        <v>168</v>
      </c>
      <c r="AD103" t="s">
        <v>6772</v>
      </c>
      <c r="AE103" t="s">
        <v>3526</v>
      </c>
      <c r="AF103">
        <v>1</v>
      </c>
      <c r="AG103">
        <v>1</v>
      </c>
      <c r="AH103">
        <v>0</v>
      </c>
      <c r="AI103">
        <v>0</v>
      </c>
      <c r="AJ103" t="s">
        <v>6795</v>
      </c>
      <c r="AK103" t="s">
        <v>6798</v>
      </c>
      <c r="AL103" t="s">
        <v>6801</v>
      </c>
      <c r="AM103">
        <v>0</v>
      </c>
    </row>
    <row r="104" spans="1:39">
      <c r="A104" s="1">
        <f>HYPERLINK("https://lsnyc.legalserver.org/matter/dynamic-profile/view/1911887","19-1911887")</f>
        <v>0</v>
      </c>
      <c r="B104" t="s">
        <v>91</v>
      </c>
      <c r="C104" t="s">
        <v>190</v>
      </c>
      <c r="E104" t="s">
        <v>471</v>
      </c>
      <c r="F104" t="s">
        <v>1334</v>
      </c>
      <c r="G104" t="s">
        <v>2249</v>
      </c>
      <c r="H104" t="s">
        <v>3172</v>
      </c>
      <c r="I104" t="s">
        <v>3495</v>
      </c>
      <c r="J104">
        <v>10037</v>
      </c>
      <c r="K104" t="s">
        <v>3522</v>
      </c>
      <c r="L104" t="s">
        <v>3525</v>
      </c>
      <c r="N104" t="s">
        <v>3554</v>
      </c>
      <c r="O104" t="s">
        <v>4132</v>
      </c>
      <c r="Q104" t="s">
        <v>4147</v>
      </c>
      <c r="R104" t="s">
        <v>3523</v>
      </c>
      <c r="T104" t="s">
        <v>4156</v>
      </c>
      <c r="U104" t="s">
        <v>4168</v>
      </c>
      <c r="V104" t="s">
        <v>196</v>
      </c>
      <c r="W104">
        <v>2052</v>
      </c>
      <c r="X104" t="s">
        <v>4196</v>
      </c>
      <c r="Y104" t="s">
        <v>4206</v>
      </c>
      <c r="Z104" t="s">
        <v>4304</v>
      </c>
      <c r="AB104" t="s">
        <v>5715</v>
      </c>
      <c r="AC104">
        <v>259</v>
      </c>
      <c r="AD104" t="s">
        <v>6772</v>
      </c>
      <c r="AE104" t="s">
        <v>3526</v>
      </c>
      <c r="AF104">
        <v>2</v>
      </c>
      <c r="AG104">
        <v>1</v>
      </c>
      <c r="AH104">
        <v>0</v>
      </c>
      <c r="AI104">
        <v>0</v>
      </c>
      <c r="AL104" t="s">
        <v>6801</v>
      </c>
      <c r="AM104">
        <v>0</v>
      </c>
    </row>
    <row r="105" spans="1:39">
      <c r="A105" s="1">
        <f>HYPERLINK("https://lsnyc.legalserver.org/matter/dynamic-profile/view/1916938","19-1916938")</f>
        <v>0</v>
      </c>
      <c r="B105" t="s">
        <v>91</v>
      </c>
      <c r="C105" t="s">
        <v>242</v>
      </c>
      <c r="D105" t="s">
        <v>242</v>
      </c>
      <c r="E105" t="s">
        <v>472</v>
      </c>
      <c r="F105" t="s">
        <v>1348</v>
      </c>
      <c r="G105" t="s">
        <v>2250</v>
      </c>
      <c r="I105" t="s">
        <v>3495</v>
      </c>
      <c r="J105">
        <v>10035</v>
      </c>
      <c r="K105" t="s">
        <v>3522</v>
      </c>
      <c r="L105" t="s">
        <v>3525</v>
      </c>
      <c r="N105" t="s">
        <v>3554</v>
      </c>
      <c r="O105" t="s">
        <v>4135</v>
      </c>
      <c r="P105" t="s">
        <v>4142</v>
      </c>
      <c r="Q105" t="s">
        <v>4147</v>
      </c>
      <c r="R105" t="s">
        <v>3523</v>
      </c>
      <c r="T105" t="s">
        <v>4156</v>
      </c>
      <c r="U105" t="s">
        <v>4168</v>
      </c>
      <c r="V105" t="s">
        <v>242</v>
      </c>
      <c r="W105">
        <v>1600</v>
      </c>
      <c r="X105" t="s">
        <v>4196</v>
      </c>
      <c r="Y105" t="s">
        <v>4198</v>
      </c>
      <c r="Z105" t="s">
        <v>4305</v>
      </c>
      <c r="AC105">
        <v>35</v>
      </c>
      <c r="AD105" t="s">
        <v>5524</v>
      </c>
      <c r="AE105" t="s">
        <v>3526</v>
      </c>
      <c r="AF105">
        <v>5</v>
      </c>
      <c r="AG105">
        <v>1</v>
      </c>
      <c r="AH105">
        <v>0</v>
      </c>
      <c r="AI105">
        <v>0</v>
      </c>
      <c r="AL105" t="s">
        <v>6801</v>
      </c>
      <c r="AM105">
        <v>0</v>
      </c>
    </row>
    <row r="106" spans="1:39">
      <c r="A106" s="1">
        <f>HYPERLINK("https://lsnyc.legalserver.org/matter/dynamic-profile/view/1917054","19-1917054")</f>
        <v>0</v>
      </c>
      <c r="B106" t="s">
        <v>91</v>
      </c>
      <c r="C106" t="s">
        <v>243</v>
      </c>
      <c r="E106" t="s">
        <v>473</v>
      </c>
      <c r="F106" t="s">
        <v>1349</v>
      </c>
      <c r="G106" t="s">
        <v>2251</v>
      </c>
      <c r="H106" t="s">
        <v>3173</v>
      </c>
      <c r="I106" t="s">
        <v>3495</v>
      </c>
      <c r="J106">
        <v>10035</v>
      </c>
      <c r="K106" t="s">
        <v>3522</v>
      </c>
      <c r="L106" t="s">
        <v>3525</v>
      </c>
      <c r="N106" t="s">
        <v>3554</v>
      </c>
      <c r="O106" t="s">
        <v>4135</v>
      </c>
      <c r="Q106" t="s">
        <v>4147</v>
      </c>
      <c r="R106" t="s">
        <v>3522</v>
      </c>
      <c r="T106" t="s">
        <v>4156</v>
      </c>
      <c r="U106" t="s">
        <v>4168</v>
      </c>
      <c r="V106" t="s">
        <v>243</v>
      </c>
      <c r="W106">
        <v>1935</v>
      </c>
      <c r="X106" t="s">
        <v>4196</v>
      </c>
      <c r="Y106" t="s">
        <v>4198</v>
      </c>
      <c r="Z106" t="s">
        <v>4306</v>
      </c>
      <c r="AB106" t="s">
        <v>5716</v>
      </c>
      <c r="AC106">
        <v>33</v>
      </c>
      <c r="AD106" t="s">
        <v>6772</v>
      </c>
      <c r="AE106" t="s">
        <v>6791</v>
      </c>
      <c r="AF106">
        <v>14</v>
      </c>
      <c r="AG106">
        <v>1</v>
      </c>
      <c r="AH106">
        <v>0</v>
      </c>
      <c r="AI106">
        <v>0</v>
      </c>
      <c r="AL106" t="s">
        <v>6802</v>
      </c>
      <c r="AM106">
        <v>0</v>
      </c>
    </row>
    <row r="107" spans="1:39">
      <c r="A107" s="1">
        <f>HYPERLINK("https://lsnyc.legalserver.org/matter/dynamic-profile/view/1917089","19-1917089")</f>
        <v>0</v>
      </c>
      <c r="B107" t="s">
        <v>91</v>
      </c>
      <c r="C107" t="s">
        <v>243</v>
      </c>
      <c r="D107" t="s">
        <v>332</v>
      </c>
      <c r="E107" t="s">
        <v>473</v>
      </c>
      <c r="F107" t="s">
        <v>1349</v>
      </c>
      <c r="G107" t="s">
        <v>2251</v>
      </c>
      <c r="H107" t="s">
        <v>3173</v>
      </c>
      <c r="I107" t="s">
        <v>3495</v>
      </c>
      <c r="J107">
        <v>10035</v>
      </c>
      <c r="K107" t="s">
        <v>3522</v>
      </c>
      <c r="L107" t="s">
        <v>3525</v>
      </c>
      <c r="N107" t="s">
        <v>3554</v>
      </c>
      <c r="O107" t="s">
        <v>4135</v>
      </c>
      <c r="P107" t="s">
        <v>4142</v>
      </c>
      <c r="Q107" t="s">
        <v>4147</v>
      </c>
      <c r="R107" t="s">
        <v>3522</v>
      </c>
      <c r="T107" t="s">
        <v>4156</v>
      </c>
      <c r="U107" t="s">
        <v>4168</v>
      </c>
      <c r="V107" t="s">
        <v>243</v>
      </c>
      <c r="W107">
        <v>1935</v>
      </c>
      <c r="X107" t="s">
        <v>4196</v>
      </c>
      <c r="Y107" t="s">
        <v>4201</v>
      </c>
      <c r="Z107" t="s">
        <v>4306</v>
      </c>
      <c r="AB107" t="s">
        <v>5716</v>
      </c>
      <c r="AC107">
        <v>33</v>
      </c>
      <c r="AD107" t="s">
        <v>6772</v>
      </c>
      <c r="AE107" t="s">
        <v>6791</v>
      </c>
      <c r="AF107">
        <v>14</v>
      </c>
      <c r="AG107">
        <v>1</v>
      </c>
      <c r="AH107">
        <v>0</v>
      </c>
      <c r="AI107">
        <v>0</v>
      </c>
      <c r="AL107" t="s">
        <v>6802</v>
      </c>
      <c r="AM107">
        <v>0</v>
      </c>
    </row>
    <row r="108" spans="1:39">
      <c r="A108" s="1">
        <f>HYPERLINK("https://lsnyc.legalserver.org/matter/dynamic-profile/view/1906999","19-1906999")</f>
        <v>0</v>
      </c>
      <c r="B108" t="s">
        <v>92</v>
      </c>
      <c r="C108" t="s">
        <v>244</v>
      </c>
      <c r="D108" t="s">
        <v>195</v>
      </c>
      <c r="E108" t="s">
        <v>474</v>
      </c>
      <c r="F108" t="s">
        <v>1350</v>
      </c>
      <c r="G108" t="s">
        <v>2252</v>
      </c>
      <c r="H108">
        <v>25</v>
      </c>
      <c r="I108" t="s">
        <v>3495</v>
      </c>
      <c r="J108">
        <v>10034</v>
      </c>
      <c r="K108" t="s">
        <v>3522</v>
      </c>
      <c r="L108" t="s">
        <v>3525</v>
      </c>
      <c r="N108" t="s">
        <v>3554</v>
      </c>
      <c r="O108" t="s">
        <v>4132</v>
      </c>
      <c r="P108" t="s">
        <v>4139</v>
      </c>
      <c r="Q108" t="s">
        <v>4147</v>
      </c>
      <c r="R108" t="s">
        <v>3523</v>
      </c>
      <c r="T108" t="s">
        <v>4156</v>
      </c>
      <c r="U108" t="s">
        <v>4168</v>
      </c>
      <c r="V108" t="s">
        <v>244</v>
      </c>
      <c r="W108">
        <v>1138</v>
      </c>
      <c r="X108" t="s">
        <v>4196</v>
      </c>
      <c r="Y108" t="s">
        <v>4205</v>
      </c>
      <c r="Z108" t="s">
        <v>4307</v>
      </c>
      <c r="AB108" t="s">
        <v>5717</v>
      </c>
      <c r="AC108">
        <v>26</v>
      </c>
      <c r="AD108" t="s">
        <v>6772</v>
      </c>
      <c r="AE108" t="s">
        <v>3526</v>
      </c>
      <c r="AF108">
        <v>45</v>
      </c>
      <c r="AG108">
        <v>1</v>
      </c>
      <c r="AH108">
        <v>0</v>
      </c>
      <c r="AI108">
        <v>0</v>
      </c>
      <c r="AL108" t="s">
        <v>6801</v>
      </c>
      <c r="AM108">
        <v>0</v>
      </c>
    </row>
    <row r="109" spans="1:39">
      <c r="A109" s="1">
        <f>HYPERLINK("https://lsnyc.legalserver.org/matter/dynamic-profile/view/1914241","19-1914241")</f>
        <v>0</v>
      </c>
      <c r="B109" t="s">
        <v>92</v>
      </c>
      <c r="C109" t="s">
        <v>245</v>
      </c>
      <c r="E109" t="s">
        <v>475</v>
      </c>
      <c r="F109" t="s">
        <v>1351</v>
      </c>
      <c r="G109" t="s">
        <v>2253</v>
      </c>
      <c r="H109" t="s">
        <v>3174</v>
      </c>
      <c r="I109" t="s">
        <v>3495</v>
      </c>
      <c r="J109">
        <v>10034</v>
      </c>
      <c r="K109" t="s">
        <v>3522</v>
      </c>
      <c r="L109" t="s">
        <v>3525</v>
      </c>
      <c r="M109" t="s">
        <v>3584</v>
      </c>
      <c r="N109" t="s">
        <v>4109</v>
      </c>
      <c r="O109" t="s">
        <v>4136</v>
      </c>
      <c r="Q109" t="s">
        <v>4147</v>
      </c>
      <c r="R109" t="s">
        <v>3523</v>
      </c>
      <c r="T109" t="s">
        <v>4156</v>
      </c>
      <c r="V109" t="s">
        <v>245</v>
      </c>
      <c r="W109">
        <v>664.25</v>
      </c>
      <c r="X109" t="s">
        <v>4196</v>
      </c>
      <c r="Y109" t="s">
        <v>4201</v>
      </c>
      <c r="Z109" t="s">
        <v>4308</v>
      </c>
      <c r="AB109" t="s">
        <v>5718</v>
      </c>
      <c r="AC109">
        <v>50</v>
      </c>
      <c r="AD109" t="s">
        <v>6772</v>
      </c>
      <c r="AE109" t="s">
        <v>3526</v>
      </c>
      <c r="AF109">
        <v>25</v>
      </c>
      <c r="AG109">
        <v>1</v>
      </c>
      <c r="AH109">
        <v>0</v>
      </c>
      <c r="AI109">
        <v>0</v>
      </c>
      <c r="AL109" t="s">
        <v>6801</v>
      </c>
      <c r="AM109">
        <v>0</v>
      </c>
    </row>
    <row r="110" spans="1:39">
      <c r="A110" s="1">
        <f>HYPERLINK("https://lsnyc.legalserver.org/matter/dynamic-profile/view/1914976","19-1914976")</f>
        <v>0</v>
      </c>
      <c r="B110" t="s">
        <v>90</v>
      </c>
      <c r="C110" t="s">
        <v>219</v>
      </c>
      <c r="E110" t="s">
        <v>476</v>
      </c>
      <c r="F110" t="s">
        <v>1352</v>
      </c>
      <c r="G110" t="s">
        <v>2254</v>
      </c>
      <c r="H110">
        <v>201</v>
      </c>
      <c r="I110" t="s">
        <v>3495</v>
      </c>
      <c r="J110">
        <v>10034</v>
      </c>
      <c r="K110" t="s">
        <v>3522</v>
      </c>
      <c r="L110" t="s">
        <v>3525</v>
      </c>
      <c r="N110" t="s">
        <v>4109</v>
      </c>
      <c r="O110" t="s">
        <v>4134</v>
      </c>
      <c r="Q110" t="s">
        <v>4147</v>
      </c>
      <c r="R110" t="s">
        <v>3523</v>
      </c>
      <c r="T110" t="s">
        <v>4156</v>
      </c>
      <c r="V110" t="s">
        <v>219</v>
      </c>
      <c r="W110">
        <v>1374</v>
      </c>
      <c r="X110" t="s">
        <v>4196</v>
      </c>
      <c r="Y110" t="s">
        <v>4201</v>
      </c>
      <c r="Z110" t="s">
        <v>4309</v>
      </c>
      <c r="AB110" t="s">
        <v>5719</v>
      </c>
      <c r="AC110">
        <v>0</v>
      </c>
      <c r="AD110" t="s">
        <v>6772</v>
      </c>
      <c r="AF110">
        <v>11</v>
      </c>
      <c r="AG110">
        <v>1</v>
      </c>
      <c r="AH110">
        <v>1</v>
      </c>
      <c r="AI110">
        <v>0</v>
      </c>
      <c r="AL110" t="s">
        <v>6802</v>
      </c>
      <c r="AM110">
        <v>0</v>
      </c>
    </row>
    <row r="111" spans="1:39">
      <c r="A111" s="1">
        <f>HYPERLINK("https://lsnyc.legalserver.org/matter/dynamic-profile/view/1904691","19-1904691")</f>
        <v>0</v>
      </c>
      <c r="B111" t="s">
        <v>92</v>
      </c>
      <c r="C111" t="s">
        <v>246</v>
      </c>
      <c r="E111" t="s">
        <v>477</v>
      </c>
      <c r="F111" t="s">
        <v>1353</v>
      </c>
      <c r="G111" t="s">
        <v>2255</v>
      </c>
      <c r="H111">
        <v>5</v>
      </c>
      <c r="I111" t="s">
        <v>3495</v>
      </c>
      <c r="J111">
        <v>10034</v>
      </c>
      <c r="K111" t="s">
        <v>3522</v>
      </c>
      <c r="L111" t="s">
        <v>3525</v>
      </c>
      <c r="O111" t="s">
        <v>4136</v>
      </c>
      <c r="Q111" t="s">
        <v>4147</v>
      </c>
      <c r="R111" t="s">
        <v>3522</v>
      </c>
      <c r="T111" t="s">
        <v>4156</v>
      </c>
      <c r="V111" t="s">
        <v>246</v>
      </c>
      <c r="W111">
        <v>961.8200000000001</v>
      </c>
      <c r="X111" t="s">
        <v>4196</v>
      </c>
      <c r="Y111" t="s">
        <v>4205</v>
      </c>
      <c r="Z111" t="s">
        <v>4310</v>
      </c>
      <c r="AC111">
        <v>25</v>
      </c>
      <c r="AD111" t="s">
        <v>6772</v>
      </c>
      <c r="AE111" t="s">
        <v>3526</v>
      </c>
      <c r="AF111">
        <v>30</v>
      </c>
      <c r="AG111">
        <v>1</v>
      </c>
      <c r="AH111">
        <v>0</v>
      </c>
      <c r="AI111">
        <v>0</v>
      </c>
      <c r="AL111" t="s">
        <v>6801</v>
      </c>
      <c r="AM111">
        <v>0</v>
      </c>
    </row>
    <row r="112" spans="1:39">
      <c r="A112" s="1">
        <f>HYPERLINK("https://lsnyc.legalserver.org/matter/dynamic-profile/view/1904716","19-1904716")</f>
        <v>0</v>
      </c>
      <c r="B112" t="s">
        <v>92</v>
      </c>
      <c r="C112" t="s">
        <v>246</v>
      </c>
      <c r="E112" t="s">
        <v>446</v>
      </c>
      <c r="F112" t="s">
        <v>1354</v>
      </c>
      <c r="G112" t="s">
        <v>2255</v>
      </c>
      <c r="H112">
        <v>41</v>
      </c>
      <c r="I112" t="s">
        <v>3495</v>
      </c>
      <c r="J112">
        <v>10034</v>
      </c>
      <c r="K112" t="s">
        <v>3522</v>
      </c>
      <c r="L112" t="s">
        <v>3525</v>
      </c>
      <c r="O112" t="s">
        <v>4136</v>
      </c>
      <c r="Q112" t="s">
        <v>4147</v>
      </c>
      <c r="R112" t="s">
        <v>3522</v>
      </c>
      <c r="T112" t="s">
        <v>4156</v>
      </c>
      <c r="V112" t="s">
        <v>246</v>
      </c>
      <c r="W112">
        <v>910</v>
      </c>
      <c r="X112" t="s">
        <v>4196</v>
      </c>
      <c r="Y112" t="s">
        <v>4205</v>
      </c>
      <c r="Z112" t="s">
        <v>4311</v>
      </c>
      <c r="AC112">
        <v>25</v>
      </c>
      <c r="AD112" t="s">
        <v>6772</v>
      </c>
      <c r="AE112" t="s">
        <v>6788</v>
      </c>
      <c r="AF112">
        <v>40</v>
      </c>
      <c r="AG112">
        <v>6</v>
      </c>
      <c r="AH112">
        <v>0</v>
      </c>
      <c r="AI112">
        <v>0</v>
      </c>
      <c r="AL112" t="s">
        <v>6801</v>
      </c>
      <c r="AM112">
        <v>0</v>
      </c>
    </row>
    <row r="113" spans="1:44">
      <c r="A113" s="1">
        <f>HYPERLINK("https://lsnyc.legalserver.org/matter/dynamic-profile/view/1907052","19-1907052")</f>
        <v>0</v>
      </c>
      <c r="B113" t="s">
        <v>92</v>
      </c>
      <c r="C113" t="s">
        <v>244</v>
      </c>
      <c r="D113" t="s">
        <v>195</v>
      </c>
      <c r="E113" t="s">
        <v>478</v>
      </c>
      <c r="F113" t="s">
        <v>1355</v>
      </c>
      <c r="G113" t="s">
        <v>2256</v>
      </c>
      <c r="H113" t="s">
        <v>3175</v>
      </c>
      <c r="I113" t="s">
        <v>3495</v>
      </c>
      <c r="J113">
        <v>10032</v>
      </c>
      <c r="K113" t="s">
        <v>3522</v>
      </c>
      <c r="L113" t="s">
        <v>3525</v>
      </c>
      <c r="M113" t="s">
        <v>3585</v>
      </c>
      <c r="N113" t="s">
        <v>4109</v>
      </c>
      <c r="O113" t="s">
        <v>4132</v>
      </c>
      <c r="P113" t="s">
        <v>4139</v>
      </c>
      <c r="Q113" t="s">
        <v>4147</v>
      </c>
      <c r="R113" t="s">
        <v>3523</v>
      </c>
      <c r="T113" t="s">
        <v>4156</v>
      </c>
      <c r="U113" t="s">
        <v>4168</v>
      </c>
      <c r="V113" t="s">
        <v>244</v>
      </c>
      <c r="W113">
        <v>918.5599999999999</v>
      </c>
      <c r="X113" t="s">
        <v>4196</v>
      </c>
      <c r="Y113" t="s">
        <v>4205</v>
      </c>
      <c r="Z113" t="s">
        <v>4312</v>
      </c>
      <c r="AB113" t="s">
        <v>5720</v>
      </c>
      <c r="AC113">
        <v>46</v>
      </c>
      <c r="AD113" t="s">
        <v>6772</v>
      </c>
      <c r="AE113" t="s">
        <v>3526</v>
      </c>
      <c r="AF113">
        <v>30</v>
      </c>
      <c r="AG113">
        <v>1</v>
      </c>
      <c r="AH113">
        <v>0</v>
      </c>
      <c r="AI113">
        <v>0</v>
      </c>
      <c r="AL113" t="s">
        <v>6801</v>
      </c>
      <c r="AM113">
        <v>0</v>
      </c>
    </row>
    <row r="114" spans="1:44">
      <c r="A114" s="1">
        <f>HYPERLINK("https://lsnyc.legalserver.org/matter/dynamic-profile/view/1909408","19-1909408")</f>
        <v>0</v>
      </c>
      <c r="B114" t="s">
        <v>88</v>
      </c>
      <c r="C114" t="s">
        <v>247</v>
      </c>
      <c r="E114" t="s">
        <v>479</v>
      </c>
      <c r="F114" t="s">
        <v>1356</v>
      </c>
      <c r="G114" t="s">
        <v>2257</v>
      </c>
      <c r="H114" t="s">
        <v>3176</v>
      </c>
      <c r="I114" t="s">
        <v>3495</v>
      </c>
      <c r="J114">
        <v>10032</v>
      </c>
      <c r="K114" t="s">
        <v>3522</v>
      </c>
      <c r="L114" t="s">
        <v>3527</v>
      </c>
      <c r="N114" t="s">
        <v>4117</v>
      </c>
      <c r="O114" t="s">
        <v>4135</v>
      </c>
      <c r="Q114" t="s">
        <v>4147</v>
      </c>
      <c r="R114" t="s">
        <v>3523</v>
      </c>
      <c r="T114" t="s">
        <v>4156</v>
      </c>
      <c r="V114" t="s">
        <v>4176</v>
      </c>
      <c r="W114">
        <v>858.16</v>
      </c>
      <c r="X114" t="s">
        <v>4196</v>
      </c>
      <c r="Y114" t="s">
        <v>4201</v>
      </c>
      <c r="Z114" t="s">
        <v>4313</v>
      </c>
      <c r="AA114" t="s">
        <v>5498</v>
      </c>
      <c r="AB114" t="s">
        <v>5721</v>
      </c>
      <c r="AC114">
        <v>48</v>
      </c>
      <c r="AD114" t="s">
        <v>6772</v>
      </c>
      <c r="AE114" t="s">
        <v>6788</v>
      </c>
      <c r="AF114">
        <v>35</v>
      </c>
      <c r="AG114">
        <v>1</v>
      </c>
      <c r="AH114">
        <v>1</v>
      </c>
      <c r="AI114">
        <v>0</v>
      </c>
      <c r="AL114" t="s">
        <v>6802</v>
      </c>
      <c r="AM114">
        <v>0</v>
      </c>
    </row>
    <row r="115" spans="1:44">
      <c r="A115" s="1">
        <f>HYPERLINK("https://lsnyc.legalserver.org/matter/dynamic-profile/view/1916372","19-1916372")</f>
        <v>0</v>
      </c>
      <c r="B115" t="s">
        <v>93</v>
      </c>
      <c r="C115" t="s">
        <v>223</v>
      </c>
      <c r="D115" t="s">
        <v>332</v>
      </c>
      <c r="E115" t="s">
        <v>480</v>
      </c>
      <c r="F115" t="s">
        <v>1357</v>
      </c>
      <c r="G115" t="s">
        <v>2258</v>
      </c>
      <c r="H115">
        <v>41</v>
      </c>
      <c r="I115" t="s">
        <v>3495</v>
      </c>
      <c r="J115">
        <v>10032</v>
      </c>
      <c r="K115" t="s">
        <v>3522</v>
      </c>
      <c r="L115" t="s">
        <v>3525</v>
      </c>
      <c r="M115" t="s">
        <v>3586</v>
      </c>
      <c r="O115" t="s">
        <v>4132</v>
      </c>
      <c r="P115" t="s">
        <v>4139</v>
      </c>
      <c r="Q115" t="s">
        <v>4147</v>
      </c>
      <c r="R115" t="s">
        <v>3523</v>
      </c>
      <c r="T115" t="s">
        <v>4156</v>
      </c>
      <c r="V115" t="s">
        <v>223</v>
      </c>
      <c r="W115">
        <v>961.28</v>
      </c>
      <c r="X115" t="s">
        <v>4196</v>
      </c>
      <c r="Y115" t="s">
        <v>4205</v>
      </c>
      <c r="Z115" t="s">
        <v>4314</v>
      </c>
      <c r="AB115" t="s">
        <v>5722</v>
      </c>
      <c r="AC115">
        <v>40</v>
      </c>
      <c r="AD115" t="s">
        <v>6772</v>
      </c>
      <c r="AE115" t="s">
        <v>3526</v>
      </c>
      <c r="AF115">
        <v>8</v>
      </c>
      <c r="AG115">
        <v>1</v>
      </c>
      <c r="AH115">
        <v>0</v>
      </c>
      <c r="AI115">
        <v>0</v>
      </c>
      <c r="AL115" t="s">
        <v>6801</v>
      </c>
      <c r="AM115">
        <v>0</v>
      </c>
    </row>
    <row r="116" spans="1:44">
      <c r="A116" s="1">
        <f>HYPERLINK("https://lsnyc.legalserver.org/matter/dynamic-profile/view/1911459","19-1911459")</f>
        <v>0</v>
      </c>
      <c r="B116" t="s">
        <v>94</v>
      </c>
      <c r="C116" t="s">
        <v>215</v>
      </c>
      <c r="E116" t="s">
        <v>481</v>
      </c>
      <c r="F116" t="s">
        <v>1358</v>
      </c>
      <c r="G116" t="s">
        <v>2259</v>
      </c>
      <c r="H116" t="s">
        <v>3177</v>
      </c>
      <c r="I116" t="s">
        <v>3495</v>
      </c>
      <c r="J116">
        <v>10029</v>
      </c>
      <c r="K116" t="s">
        <v>3522</v>
      </c>
      <c r="L116" t="s">
        <v>3525</v>
      </c>
      <c r="N116" t="s">
        <v>3554</v>
      </c>
      <c r="O116" t="s">
        <v>4136</v>
      </c>
      <c r="Q116" t="s">
        <v>4147</v>
      </c>
      <c r="R116" t="s">
        <v>3523</v>
      </c>
      <c r="S116" t="s">
        <v>4147</v>
      </c>
      <c r="T116" t="s">
        <v>4156</v>
      </c>
      <c r="U116" t="s">
        <v>4168</v>
      </c>
      <c r="V116" t="s">
        <v>194</v>
      </c>
      <c r="W116">
        <v>2000</v>
      </c>
      <c r="X116" t="s">
        <v>4196</v>
      </c>
      <c r="Y116" t="s">
        <v>4210</v>
      </c>
      <c r="Z116" t="s">
        <v>4315</v>
      </c>
      <c r="AB116" t="s">
        <v>5723</v>
      </c>
      <c r="AC116">
        <v>16</v>
      </c>
      <c r="AD116" t="s">
        <v>6772</v>
      </c>
      <c r="AF116">
        <v>5</v>
      </c>
      <c r="AG116">
        <v>1</v>
      </c>
      <c r="AH116">
        <v>0</v>
      </c>
      <c r="AI116">
        <v>0</v>
      </c>
      <c r="AL116" t="s">
        <v>6801</v>
      </c>
      <c r="AM116">
        <v>0</v>
      </c>
    </row>
    <row r="117" spans="1:44">
      <c r="A117" s="1">
        <f>HYPERLINK("https://lsnyc.legalserver.org/matter/dynamic-profile/view/1910521","19-1910521")</f>
        <v>0</v>
      </c>
      <c r="B117" t="s">
        <v>95</v>
      </c>
      <c r="C117" t="s">
        <v>203</v>
      </c>
      <c r="D117" t="s">
        <v>265</v>
      </c>
      <c r="E117" t="s">
        <v>419</v>
      </c>
      <c r="F117" t="s">
        <v>1359</v>
      </c>
      <c r="G117" t="s">
        <v>2260</v>
      </c>
      <c r="H117">
        <v>11</v>
      </c>
      <c r="I117" t="s">
        <v>3495</v>
      </c>
      <c r="J117">
        <v>10028</v>
      </c>
      <c r="K117" t="s">
        <v>3522</v>
      </c>
      <c r="L117" t="s">
        <v>3525</v>
      </c>
      <c r="O117" t="s">
        <v>4132</v>
      </c>
      <c r="P117" t="s">
        <v>4139</v>
      </c>
      <c r="Q117" t="s">
        <v>4148</v>
      </c>
      <c r="R117" t="s">
        <v>3523</v>
      </c>
      <c r="T117" t="s">
        <v>4156</v>
      </c>
      <c r="V117" t="s">
        <v>313</v>
      </c>
      <c r="W117">
        <v>1438.6</v>
      </c>
      <c r="X117" t="s">
        <v>4196</v>
      </c>
      <c r="Y117" t="s">
        <v>4199</v>
      </c>
      <c r="Z117" t="s">
        <v>4316</v>
      </c>
      <c r="AB117" t="s">
        <v>5724</v>
      </c>
      <c r="AC117">
        <v>33</v>
      </c>
      <c r="AD117" t="s">
        <v>6772</v>
      </c>
      <c r="AE117" t="s">
        <v>3526</v>
      </c>
      <c r="AF117">
        <v>24</v>
      </c>
      <c r="AG117">
        <v>1</v>
      </c>
      <c r="AH117">
        <v>1</v>
      </c>
      <c r="AI117">
        <v>0</v>
      </c>
      <c r="AJ117" t="s">
        <v>6795</v>
      </c>
      <c r="AK117" t="s">
        <v>6798</v>
      </c>
      <c r="AL117" t="s">
        <v>6801</v>
      </c>
      <c r="AM117">
        <v>0</v>
      </c>
    </row>
    <row r="118" spans="1:44">
      <c r="A118" s="1">
        <f>HYPERLINK("https://lsnyc.legalserver.org/matter/dynamic-profile/view/1915718","19-1915718")</f>
        <v>0</v>
      </c>
      <c r="B118" t="s">
        <v>94</v>
      </c>
      <c r="C118" t="s">
        <v>248</v>
      </c>
      <c r="E118" t="s">
        <v>482</v>
      </c>
      <c r="F118" t="s">
        <v>1360</v>
      </c>
      <c r="G118" t="s">
        <v>2261</v>
      </c>
      <c r="H118" t="s">
        <v>3178</v>
      </c>
      <c r="I118" t="s">
        <v>3495</v>
      </c>
      <c r="J118">
        <v>10035</v>
      </c>
      <c r="K118" t="s">
        <v>3522</v>
      </c>
      <c r="L118" t="s">
        <v>3525</v>
      </c>
      <c r="N118" t="s">
        <v>4110</v>
      </c>
      <c r="O118" t="s">
        <v>4137</v>
      </c>
      <c r="Q118" t="s">
        <v>4147</v>
      </c>
      <c r="R118" t="s">
        <v>3522</v>
      </c>
      <c r="T118" t="s">
        <v>4156</v>
      </c>
      <c r="U118" t="s">
        <v>4168</v>
      </c>
      <c r="V118" t="s">
        <v>248</v>
      </c>
      <c r="W118">
        <v>0</v>
      </c>
      <c r="X118" t="s">
        <v>4196</v>
      </c>
      <c r="Y118" t="s">
        <v>4201</v>
      </c>
      <c r="Z118" t="s">
        <v>4317</v>
      </c>
      <c r="AB118" t="s">
        <v>5725</v>
      </c>
      <c r="AC118">
        <v>30</v>
      </c>
      <c r="AD118" t="s">
        <v>6772</v>
      </c>
      <c r="AE118" t="s">
        <v>6786</v>
      </c>
      <c r="AF118">
        <v>16</v>
      </c>
      <c r="AG118">
        <v>1</v>
      </c>
      <c r="AH118">
        <v>0</v>
      </c>
      <c r="AI118">
        <v>0.08</v>
      </c>
      <c r="AL118" t="s">
        <v>6801</v>
      </c>
      <c r="AM118">
        <v>10.45</v>
      </c>
    </row>
    <row r="119" spans="1:44">
      <c r="A119" s="1">
        <f>HYPERLINK("https://lsnyc.legalserver.org/matter/dynamic-profile/view/1913481","19-1913481")</f>
        <v>0</v>
      </c>
      <c r="B119" t="s">
        <v>60</v>
      </c>
      <c r="C119" t="s">
        <v>237</v>
      </c>
      <c r="E119" t="s">
        <v>483</v>
      </c>
      <c r="F119" t="s">
        <v>1323</v>
      </c>
      <c r="G119" t="s">
        <v>2262</v>
      </c>
      <c r="H119" t="s">
        <v>3179</v>
      </c>
      <c r="I119" t="s">
        <v>3490</v>
      </c>
      <c r="J119">
        <v>11212</v>
      </c>
      <c r="K119" t="s">
        <v>3522</v>
      </c>
      <c r="L119" t="s">
        <v>3525</v>
      </c>
      <c r="M119" t="s">
        <v>3587</v>
      </c>
      <c r="N119" t="s">
        <v>4107</v>
      </c>
      <c r="O119" t="s">
        <v>4134</v>
      </c>
      <c r="Q119" t="s">
        <v>4147</v>
      </c>
      <c r="R119" t="s">
        <v>3523</v>
      </c>
      <c r="T119" t="s">
        <v>4156</v>
      </c>
      <c r="U119" t="s">
        <v>4168</v>
      </c>
      <c r="V119" t="s">
        <v>265</v>
      </c>
      <c r="W119">
        <v>1984.35</v>
      </c>
      <c r="X119" t="s">
        <v>4193</v>
      </c>
      <c r="Y119" t="s">
        <v>4201</v>
      </c>
      <c r="Z119" t="s">
        <v>4318</v>
      </c>
      <c r="AB119" t="s">
        <v>5726</v>
      </c>
      <c r="AC119">
        <v>4</v>
      </c>
      <c r="AD119" t="s">
        <v>6771</v>
      </c>
      <c r="AE119" t="s">
        <v>6787</v>
      </c>
      <c r="AF119">
        <v>3</v>
      </c>
      <c r="AG119">
        <v>1</v>
      </c>
      <c r="AH119">
        <v>5</v>
      </c>
      <c r="AI119">
        <v>2.89</v>
      </c>
      <c r="AL119" t="s">
        <v>6801</v>
      </c>
      <c r="AM119">
        <v>1000</v>
      </c>
    </row>
    <row r="120" spans="1:44">
      <c r="A120" s="1">
        <f>HYPERLINK("https://lsnyc.legalserver.org/matter/dynamic-profile/view/1913813","19-1913813")</f>
        <v>0</v>
      </c>
      <c r="B120" t="s">
        <v>96</v>
      </c>
      <c r="C120" t="s">
        <v>199</v>
      </c>
      <c r="D120" t="s">
        <v>240</v>
      </c>
      <c r="E120" t="s">
        <v>484</v>
      </c>
      <c r="F120" t="s">
        <v>1361</v>
      </c>
      <c r="G120" t="s">
        <v>2263</v>
      </c>
      <c r="H120" t="s">
        <v>3158</v>
      </c>
      <c r="I120" t="s">
        <v>3493</v>
      </c>
      <c r="J120">
        <v>10453</v>
      </c>
      <c r="K120" t="s">
        <v>3522</v>
      </c>
      <c r="N120" t="s">
        <v>4113</v>
      </c>
      <c r="O120" t="s">
        <v>4132</v>
      </c>
      <c r="P120" t="s">
        <v>4139</v>
      </c>
      <c r="Q120" t="s">
        <v>4147</v>
      </c>
      <c r="R120" t="s">
        <v>3523</v>
      </c>
      <c r="T120" t="s">
        <v>4156</v>
      </c>
      <c r="V120" t="s">
        <v>199</v>
      </c>
      <c r="W120">
        <v>1120</v>
      </c>
      <c r="X120" t="s">
        <v>4194</v>
      </c>
      <c r="Y120" t="s">
        <v>4206</v>
      </c>
      <c r="Z120" t="s">
        <v>4319</v>
      </c>
      <c r="AB120" t="s">
        <v>5727</v>
      </c>
      <c r="AC120">
        <v>31</v>
      </c>
      <c r="AF120">
        <v>35</v>
      </c>
      <c r="AG120">
        <v>2</v>
      </c>
      <c r="AH120">
        <v>0</v>
      </c>
      <c r="AI120">
        <v>4.73</v>
      </c>
      <c r="AL120" t="s">
        <v>6802</v>
      </c>
      <c r="AM120">
        <v>800</v>
      </c>
    </row>
    <row r="121" spans="1:44">
      <c r="A121" s="1">
        <f>HYPERLINK("https://lsnyc.legalserver.org/matter/dynamic-profile/view/1907774","19-1907774")</f>
        <v>0</v>
      </c>
      <c r="B121" t="s">
        <v>97</v>
      </c>
      <c r="C121" t="s">
        <v>222</v>
      </c>
      <c r="E121" t="s">
        <v>485</v>
      </c>
      <c r="F121" t="s">
        <v>770</v>
      </c>
      <c r="G121" t="s">
        <v>2264</v>
      </c>
      <c r="H121" t="s">
        <v>3180</v>
      </c>
      <c r="I121" t="s">
        <v>3490</v>
      </c>
      <c r="J121">
        <v>11212</v>
      </c>
      <c r="K121" t="s">
        <v>3522</v>
      </c>
      <c r="L121" t="s">
        <v>3525</v>
      </c>
      <c r="M121" t="s">
        <v>3526</v>
      </c>
      <c r="N121" t="s">
        <v>4112</v>
      </c>
      <c r="O121" t="s">
        <v>4135</v>
      </c>
      <c r="Q121" t="s">
        <v>4147</v>
      </c>
      <c r="R121" t="s">
        <v>3522</v>
      </c>
      <c r="T121" t="s">
        <v>4156</v>
      </c>
      <c r="U121" t="s">
        <v>4168</v>
      </c>
      <c r="V121" t="s">
        <v>4177</v>
      </c>
      <c r="W121">
        <v>1047.01</v>
      </c>
      <c r="X121" t="s">
        <v>4193</v>
      </c>
      <c r="Y121" t="s">
        <v>4206</v>
      </c>
      <c r="Z121" t="s">
        <v>4320</v>
      </c>
      <c r="AA121" t="s">
        <v>3526</v>
      </c>
      <c r="AB121" t="s">
        <v>5728</v>
      </c>
      <c r="AC121">
        <v>96</v>
      </c>
      <c r="AD121" t="s">
        <v>6772</v>
      </c>
      <c r="AE121" t="s">
        <v>3526</v>
      </c>
      <c r="AF121">
        <v>30</v>
      </c>
      <c r="AG121">
        <v>2</v>
      </c>
      <c r="AH121">
        <v>0</v>
      </c>
      <c r="AI121">
        <v>4.99</v>
      </c>
      <c r="AL121" t="s">
        <v>6801</v>
      </c>
      <c r="AM121">
        <v>843</v>
      </c>
    </row>
    <row r="122" spans="1:44">
      <c r="A122" s="1">
        <f>HYPERLINK("https://lsnyc.legalserver.org/matter/dynamic-profile/view/1907060","19-1907060")</f>
        <v>0</v>
      </c>
      <c r="B122" t="s">
        <v>46</v>
      </c>
      <c r="C122" t="s">
        <v>244</v>
      </c>
      <c r="D122" t="s">
        <v>381</v>
      </c>
      <c r="E122" t="s">
        <v>486</v>
      </c>
      <c r="F122" t="s">
        <v>1362</v>
      </c>
      <c r="G122" t="s">
        <v>2265</v>
      </c>
      <c r="H122">
        <v>2</v>
      </c>
      <c r="I122" t="s">
        <v>3496</v>
      </c>
      <c r="J122">
        <v>11385</v>
      </c>
      <c r="K122" t="s">
        <v>3522</v>
      </c>
      <c r="L122" t="s">
        <v>3525</v>
      </c>
      <c r="M122" t="s">
        <v>3529</v>
      </c>
      <c r="N122" t="s">
        <v>3554</v>
      </c>
      <c r="O122" t="s">
        <v>4135</v>
      </c>
      <c r="P122" t="s">
        <v>4142</v>
      </c>
      <c r="Q122" t="s">
        <v>4147</v>
      </c>
      <c r="R122" t="s">
        <v>3523</v>
      </c>
      <c r="T122" t="s">
        <v>4156</v>
      </c>
      <c r="U122" t="s">
        <v>4168</v>
      </c>
      <c r="V122" t="s">
        <v>381</v>
      </c>
      <c r="W122">
        <v>1495</v>
      </c>
      <c r="X122" t="s">
        <v>4192</v>
      </c>
      <c r="Y122" t="s">
        <v>4206</v>
      </c>
      <c r="Z122" t="s">
        <v>4321</v>
      </c>
      <c r="AA122" t="s">
        <v>5482</v>
      </c>
      <c r="AB122" t="s">
        <v>5729</v>
      </c>
      <c r="AC122">
        <v>6</v>
      </c>
      <c r="AD122" t="s">
        <v>6772</v>
      </c>
      <c r="AE122" t="s">
        <v>6786</v>
      </c>
      <c r="AF122">
        <v>10</v>
      </c>
      <c r="AG122">
        <v>5</v>
      </c>
      <c r="AH122">
        <v>0</v>
      </c>
      <c r="AI122">
        <v>5.6</v>
      </c>
      <c r="AL122" t="s">
        <v>6801</v>
      </c>
      <c r="AM122">
        <v>1690</v>
      </c>
    </row>
    <row r="123" spans="1:44">
      <c r="A123" s="1">
        <f>HYPERLINK("https://lsnyc.legalserver.org/matter/dynamic-profile/view/1894373","19-1894373")</f>
        <v>0</v>
      </c>
      <c r="B123" t="s">
        <v>60</v>
      </c>
      <c r="C123" t="s">
        <v>249</v>
      </c>
      <c r="D123" t="s">
        <v>276</v>
      </c>
      <c r="E123" t="s">
        <v>487</v>
      </c>
      <c r="F123" t="s">
        <v>1363</v>
      </c>
      <c r="G123" t="s">
        <v>2266</v>
      </c>
      <c r="H123" t="s">
        <v>3181</v>
      </c>
      <c r="I123" t="s">
        <v>3490</v>
      </c>
      <c r="J123">
        <v>11231</v>
      </c>
      <c r="K123" t="s">
        <v>3522</v>
      </c>
      <c r="L123" t="s">
        <v>3525</v>
      </c>
      <c r="M123" t="s">
        <v>3588</v>
      </c>
      <c r="N123" t="s">
        <v>4107</v>
      </c>
      <c r="O123" t="s">
        <v>4134</v>
      </c>
      <c r="P123" t="s">
        <v>4140</v>
      </c>
      <c r="Q123" t="s">
        <v>4147</v>
      </c>
      <c r="R123" t="s">
        <v>3523</v>
      </c>
      <c r="T123" t="s">
        <v>4156</v>
      </c>
      <c r="U123" t="s">
        <v>4168</v>
      </c>
      <c r="V123" t="s">
        <v>296</v>
      </c>
      <c r="W123">
        <v>0</v>
      </c>
      <c r="X123" t="s">
        <v>4193</v>
      </c>
      <c r="Y123" t="s">
        <v>4199</v>
      </c>
      <c r="Z123" t="s">
        <v>4322</v>
      </c>
      <c r="AC123">
        <v>3</v>
      </c>
      <c r="AD123" t="s">
        <v>6771</v>
      </c>
      <c r="AE123" t="s">
        <v>3526</v>
      </c>
      <c r="AF123">
        <v>0</v>
      </c>
      <c r="AG123">
        <v>1</v>
      </c>
      <c r="AH123">
        <v>1</v>
      </c>
      <c r="AI123">
        <v>7.1</v>
      </c>
      <c r="AL123" t="s">
        <v>6805</v>
      </c>
      <c r="AM123">
        <v>1200</v>
      </c>
      <c r="AQ123" t="s">
        <v>6946</v>
      </c>
      <c r="AR123" t="s">
        <v>6956</v>
      </c>
    </row>
    <row r="124" spans="1:44">
      <c r="A124" s="1">
        <f>HYPERLINK("https://lsnyc.legalserver.org/matter/dynamic-profile/view/1909422","19-1909422")</f>
        <v>0</v>
      </c>
      <c r="B124" t="s">
        <v>81</v>
      </c>
      <c r="C124" t="s">
        <v>247</v>
      </c>
      <c r="E124" t="s">
        <v>488</v>
      </c>
      <c r="F124" t="s">
        <v>1364</v>
      </c>
      <c r="G124" t="s">
        <v>2267</v>
      </c>
      <c r="H124" t="s">
        <v>3176</v>
      </c>
      <c r="I124" t="s">
        <v>3493</v>
      </c>
      <c r="J124">
        <v>10453</v>
      </c>
      <c r="K124" t="s">
        <v>3522</v>
      </c>
      <c r="L124" t="s">
        <v>3525</v>
      </c>
      <c r="M124">
        <v>6882</v>
      </c>
      <c r="N124" t="s">
        <v>4109</v>
      </c>
      <c r="O124" t="s">
        <v>4132</v>
      </c>
      <c r="Q124" t="s">
        <v>4147</v>
      </c>
      <c r="S124" t="s">
        <v>4147</v>
      </c>
      <c r="T124" t="s">
        <v>4156</v>
      </c>
      <c r="V124" t="s">
        <v>251</v>
      </c>
      <c r="W124">
        <v>889</v>
      </c>
      <c r="X124" t="s">
        <v>4194</v>
      </c>
      <c r="Y124" t="s">
        <v>4200</v>
      </c>
      <c r="Z124" t="s">
        <v>4323</v>
      </c>
      <c r="AB124" t="s">
        <v>5730</v>
      </c>
      <c r="AC124">
        <v>47</v>
      </c>
      <c r="AD124" t="s">
        <v>6772</v>
      </c>
      <c r="AE124" t="s">
        <v>6787</v>
      </c>
      <c r="AF124">
        <v>35</v>
      </c>
      <c r="AG124">
        <v>2</v>
      </c>
      <c r="AH124">
        <v>0</v>
      </c>
      <c r="AI124">
        <v>8.460000000000001</v>
      </c>
      <c r="AL124" t="s">
        <v>6801</v>
      </c>
      <c r="AM124">
        <v>1430</v>
      </c>
    </row>
    <row r="125" spans="1:44">
      <c r="A125" s="1">
        <f>HYPERLINK("https://lsnyc.legalserver.org/matter/dynamic-profile/view/1908325","19-1908325")</f>
        <v>0</v>
      </c>
      <c r="B125" t="s">
        <v>72</v>
      </c>
      <c r="C125" t="s">
        <v>211</v>
      </c>
      <c r="E125" t="s">
        <v>489</v>
      </c>
      <c r="F125" t="s">
        <v>1365</v>
      </c>
      <c r="G125" t="s">
        <v>2268</v>
      </c>
      <c r="H125" t="s">
        <v>3154</v>
      </c>
      <c r="I125" t="s">
        <v>3490</v>
      </c>
      <c r="J125">
        <v>11213</v>
      </c>
      <c r="K125" t="s">
        <v>3522</v>
      </c>
      <c r="L125" t="s">
        <v>3525</v>
      </c>
      <c r="M125" t="s">
        <v>3526</v>
      </c>
      <c r="N125" t="s">
        <v>3554</v>
      </c>
      <c r="O125" t="s">
        <v>4135</v>
      </c>
      <c r="Q125" t="s">
        <v>4147</v>
      </c>
      <c r="R125" t="s">
        <v>3522</v>
      </c>
      <c r="T125" t="s">
        <v>4156</v>
      </c>
      <c r="U125" t="s">
        <v>4168</v>
      </c>
      <c r="V125" t="s">
        <v>222</v>
      </c>
      <c r="W125">
        <v>0</v>
      </c>
      <c r="X125" t="s">
        <v>4193</v>
      </c>
      <c r="Y125" t="s">
        <v>4206</v>
      </c>
      <c r="Z125" t="s">
        <v>4324</v>
      </c>
      <c r="AA125" t="s">
        <v>5499</v>
      </c>
      <c r="AB125" t="s">
        <v>5731</v>
      </c>
      <c r="AC125">
        <v>107</v>
      </c>
      <c r="AD125" t="s">
        <v>6772</v>
      </c>
      <c r="AF125">
        <v>4</v>
      </c>
      <c r="AG125">
        <v>1</v>
      </c>
      <c r="AH125">
        <v>0</v>
      </c>
      <c r="AI125">
        <v>8.789999999999999</v>
      </c>
      <c r="AL125" t="s">
        <v>6801</v>
      </c>
      <c r="AM125">
        <v>1098</v>
      </c>
    </row>
    <row r="126" spans="1:44">
      <c r="A126" s="1">
        <f>HYPERLINK("https://lsnyc.legalserver.org/matter/dynamic-profile/view/1906607","19-1906607")</f>
        <v>0</v>
      </c>
      <c r="B126" t="s">
        <v>57</v>
      </c>
      <c r="C126" t="s">
        <v>250</v>
      </c>
      <c r="D126" t="s">
        <v>205</v>
      </c>
      <c r="E126" t="s">
        <v>490</v>
      </c>
      <c r="F126" t="s">
        <v>1366</v>
      </c>
      <c r="G126" t="s">
        <v>2269</v>
      </c>
      <c r="H126" t="s">
        <v>3182</v>
      </c>
      <c r="I126" t="s">
        <v>3490</v>
      </c>
      <c r="J126">
        <v>11208</v>
      </c>
      <c r="K126" t="s">
        <v>3522</v>
      </c>
      <c r="L126" t="s">
        <v>3525</v>
      </c>
      <c r="M126" t="s">
        <v>3589</v>
      </c>
      <c r="N126" t="s">
        <v>4118</v>
      </c>
      <c r="O126" t="s">
        <v>4137</v>
      </c>
      <c r="P126" t="s">
        <v>4141</v>
      </c>
      <c r="Q126" t="s">
        <v>4147</v>
      </c>
      <c r="R126" t="s">
        <v>3523</v>
      </c>
      <c r="T126" t="s">
        <v>4158</v>
      </c>
      <c r="U126" t="s">
        <v>4170</v>
      </c>
      <c r="V126" t="s">
        <v>320</v>
      </c>
      <c r="W126">
        <v>1488</v>
      </c>
      <c r="X126" t="s">
        <v>4193</v>
      </c>
      <c r="Y126" t="s">
        <v>4197</v>
      </c>
      <c r="Z126" t="s">
        <v>4325</v>
      </c>
      <c r="AA126" t="s">
        <v>5500</v>
      </c>
      <c r="AB126" t="s">
        <v>5732</v>
      </c>
      <c r="AC126">
        <v>319</v>
      </c>
      <c r="AD126" t="s">
        <v>5524</v>
      </c>
      <c r="AF126">
        <v>2</v>
      </c>
      <c r="AG126">
        <v>2</v>
      </c>
      <c r="AH126">
        <v>2</v>
      </c>
      <c r="AI126">
        <v>8.890000000000001</v>
      </c>
      <c r="AL126" t="s">
        <v>6801</v>
      </c>
      <c r="AM126">
        <v>2288</v>
      </c>
    </row>
    <row r="127" spans="1:44">
      <c r="A127" s="1">
        <f>HYPERLINK("https://lsnyc.legalserver.org/matter/dynamic-profile/view/1895299","19-1895299")</f>
        <v>0</v>
      </c>
      <c r="B127" t="s">
        <v>70</v>
      </c>
      <c r="C127" t="s">
        <v>221</v>
      </c>
      <c r="D127" t="s">
        <v>257</v>
      </c>
      <c r="E127" t="s">
        <v>491</v>
      </c>
      <c r="F127" t="s">
        <v>1367</v>
      </c>
      <c r="G127" t="s">
        <v>2270</v>
      </c>
      <c r="H127" t="s">
        <v>3131</v>
      </c>
      <c r="I127" t="s">
        <v>3490</v>
      </c>
      <c r="J127">
        <v>11233</v>
      </c>
      <c r="K127" t="s">
        <v>3522</v>
      </c>
      <c r="L127" t="s">
        <v>3525</v>
      </c>
      <c r="M127" t="s">
        <v>3590</v>
      </c>
      <c r="N127" t="s">
        <v>4119</v>
      </c>
      <c r="O127" t="s">
        <v>4132</v>
      </c>
      <c r="P127" t="s">
        <v>4139</v>
      </c>
      <c r="Q127" t="s">
        <v>4147</v>
      </c>
      <c r="R127" t="s">
        <v>3522</v>
      </c>
      <c r="T127" t="s">
        <v>4160</v>
      </c>
      <c r="U127" t="s">
        <v>4168</v>
      </c>
      <c r="V127" t="s">
        <v>336</v>
      </c>
      <c r="W127">
        <v>0</v>
      </c>
      <c r="X127" t="s">
        <v>4193</v>
      </c>
      <c r="Y127" t="s">
        <v>4198</v>
      </c>
      <c r="Z127" t="s">
        <v>4326</v>
      </c>
      <c r="AB127" t="s">
        <v>5733</v>
      </c>
      <c r="AC127">
        <v>6</v>
      </c>
      <c r="AD127" t="s">
        <v>6772</v>
      </c>
      <c r="AF127">
        <v>1</v>
      </c>
      <c r="AG127">
        <v>1</v>
      </c>
      <c r="AH127">
        <v>0</v>
      </c>
      <c r="AI127">
        <v>9.550000000000001</v>
      </c>
      <c r="AL127" t="s">
        <v>6801</v>
      </c>
      <c r="AM127">
        <v>1192.8</v>
      </c>
    </row>
    <row r="128" spans="1:44">
      <c r="A128" s="1">
        <f>HYPERLINK("https://lsnyc.legalserver.org/matter/dynamic-profile/view/1911969","19-1911969")</f>
        <v>0</v>
      </c>
      <c r="B128" t="s">
        <v>61</v>
      </c>
      <c r="C128" t="s">
        <v>251</v>
      </c>
      <c r="D128" t="s">
        <v>325</v>
      </c>
      <c r="E128" t="s">
        <v>492</v>
      </c>
      <c r="F128" t="s">
        <v>1368</v>
      </c>
      <c r="G128" t="s">
        <v>2271</v>
      </c>
      <c r="I128" t="s">
        <v>3490</v>
      </c>
      <c r="J128">
        <v>11233</v>
      </c>
      <c r="K128" t="s">
        <v>3522</v>
      </c>
      <c r="L128" t="s">
        <v>3525</v>
      </c>
      <c r="M128" t="s">
        <v>3591</v>
      </c>
      <c r="N128" t="s">
        <v>4107</v>
      </c>
      <c r="O128" t="s">
        <v>4135</v>
      </c>
      <c r="P128" t="s">
        <v>4142</v>
      </c>
      <c r="Q128" t="s">
        <v>4147</v>
      </c>
      <c r="R128" t="s">
        <v>3523</v>
      </c>
      <c r="T128" t="s">
        <v>4156</v>
      </c>
      <c r="V128" t="s">
        <v>219</v>
      </c>
      <c r="W128">
        <v>0</v>
      </c>
      <c r="X128" t="s">
        <v>4193</v>
      </c>
      <c r="Y128" t="s">
        <v>4200</v>
      </c>
      <c r="Z128" t="s">
        <v>4327</v>
      </c>
      <c r="AA128" t="s">
        <v>3526</v>
      </c>
      <c r="AB128" t="s">
        <v>5734</v>
      </c>
      <c r="AC128">
        <v>2</v>
      </c>
      <c r="AD128" t="s">
        <v>6771</v>
      </c>
      <c r="AE128" t="s">
        <v>3526</v>
      </c>
      <c r="AF128">
        <v>0</v>
      </c>
      <c r="AG128">
        <v>1</v>
      </c>
      <c r="AH128">
        <v>0</v>
      </c>
      <c r="AI128">
        <v>9.609999999999999</v>
      </c>
      <c r="AL128" t="s">
        <v>6801</v>
      </c>
      <c r="AM128">
        <v>1200</v>
      </c>
    </row>
    <row r="129" spans="1:42">
      <c r="A129" s="1">
        <f>HYPERLINK("https://lsnyc.legalserver.org/matter/dynamic-profile/view/1914323","19-1914323")</f>
        <v>0</v>
      </c>
      <c r="B129" t="s">
        <v>63</v>
      </c>
      <c r="C129" t="s">
        <v>245</v>
      </c>
      <c r="E129" t="s">
        <v>493</v>
      </c>
      <c r="F129" t="s">
        <v>1369</v>
      </c>
      <c r="G129" t="s">
        <v>2272</v>
      </c>
      <c r="H129">
        <v>461</v>
      </c>
      <c r="I129" t="s">
        <v>3490</v>
      </c>
      <c r="J129">
        <v>11208</v>
      </c>
      <c r="K129" t="s">
        <v>3522</v>
      </c>
      <c r="L129" t="s">
        <v>3527</v>
      </c>
      <c r="M129" t="s">
        <v>3592</v>
      </c>
      <c r="N129" t="s">
        <v>4109</v>
      </c>
      <c r="O129" t="s">
        <v>4134</v>
      </c>
      <c r="Q129" t="s">
        <v>4147</v>
      </c>
      <c r="R129" t="s">
        <v>3523</v>
      </c>
      <c r="T129" t="s">
        <v>4156</v>
      </c>
      <c r="U129" t="s">
        <v>4170</v>
      </c>
      <c r="V129" t="s">
        <v>199</v>
      </c>
      <c r="W129">
        <v>1667</v>
      </c>
      <c r="X129" t="s">
        <v>4193</v>
      </c>
      <c r="Y129" t="s">
        <v>4203</v>
      </c>
      <c r="Z129" t="s">
        <v>4328</v>
      </c>
      <c r="AA129" t="s">
        <v>5501</v>
      </c>
      <c r="AB129" t="s">
        <v>5735</v>
      </c>
      <c r="AC129">
        <v>266</v>
      </c>
      <c r="AD129" t="s">
        <v>6772</v>
      </c>
      <c r="AE129" t="s">
        <v>6786</v>
      </c>
      <c r="AF129">
        <v>15</v>
      </c>
      <c r="AG129">
        <v>2</v>
      </c>
      <c r="AH129">
        <v>1</v>
      </c>
      <c r="AI129">
        <v>11.25</v>
      </c>
      <c r="AL129" t="s">
        <v>6801</v>
      </c>
      <c r="AM129">
        <v>2400</v>
      </c>
    </row>
    <row r="130" spans="1:42">
      <c r="A130" s="1">
        <f>HYPERLINK("https://lsnyc.legalserver.org/matter/dynamic-profile/view/1911742","19-1911742")</f>
        <v>0</v>
      </c>
      <c r="B130" t="s">
        <v>64</v>
      </c>
      <c r="C130" t="s">
        <v>194</v>
      </c>
      <c r="E130" t="s">
        <v>494</v>
      </c>
      <c r="F130" t="s">
        <v>1370</v>
      </c>
      <c r="G130" t="s">
        <v>2273</v>
      </c>
      <c r="H130" t="s">
        <v>3183</v>
      </c>
      <c r="I130" t="s">
        <v>3490</v>
      </c>
      <c r="J130">
        <v>11232</v>
      </c>
      <c r="K130" t="s">
        <v>3522</v>
      </c>
      <c r="L130" t="s">
        <v>3525</v>
      </c>
      <c r="N130" t="s">
        <v>4112</v>
      </c>
      <c r="O130" t="s">
        <v>4133</v>
      </c>
      <c r="Q130" t="s">
        <v>4147</v>
      </c>
      <c r="T130" t="s">
        <v>4159</v>
      </c>
      <c r="V130" t="s">
        <v>194</v>
      </c>
      <c r="W130">
        <v>0</v>
      </c>
      <c r="X130" t="s">
        <v>4193</v>
      </c>
      <c r="Z130" t="s">
        <v>4329</v>
      </c>
      <c r="AC130">
        <v>8</v>
      </c>
      <c r="AF130">
        <v>0</v>
      </c>
      <c r="AG130">
        <v>1</v>
      </c>
      <c r="AH130">
        <v>3</v>
      </c>
      <c r="AI130">
        <v>11.65</v>
      </c>
      <c r="AL130" t="s">
        <v>6802</v>
      </c>
      <c r="AM130">
        <v>3000</v>
      </c>
    </row>
    <row r="131" spans="1:42">
      <c r="A131" s="1">
        <f>HYPERLINK("https://lsnyc.legalserver.org/matter/dynamic-profile/view/1904334","19-1904334")</f>
        <v>0</v>
      </c>
      <c r="B131" t="s">
        <v>75</v>
      </c>
      <c r="C131" t="s">
        <v>179</v>
      </c>
      <c r="E131" t="s">
        <v>495</v>
      </c>
      <c r="F131" t="s">
        <v>1371</v>
      </c>
      <c r="G131" t="s">
        <v>2234</v>
      </c>
      <c r="H131" t="s">
        <v>3184</v>
      </c>
      <c r="I131" t="s">
        <v>3493</v>
      </c>
      <c r="J131">
        <v>10455</v>
      </c>
      <c r="K131" t="s">
        <v>3522</v>
      </c>
      <c r="L131" t="s">
        <v>3525</v>
      </c>
      <c r="M131" t="s">
        <v>3593</v>
      </c>
      <c r="N131" t="s">
        <v>4110</v>
      </c>
      <c r="O131" t="s">
        <v>4137</v>
      </c>
      <c r="Q131" t="s">
        <v>4147</v>
      </c>
      <c r="R131" t="s">
        <v>3523</v>
      </c>
      <c r="T131" t="s">
        <v>4156</v>
      </c>
      <c r="V131" t="s">
        <v>318</v>
      </c>
      <c r="W131">
        <v>600</v>
      </c>
      <c r="X131" t="s">
        <v>4194</v>
      </c>
      <c r="Y131" t="s">
        <v>4201</v>
      </c>
      <c r="Z131" t="s">
        <v>4330</v>
      </c>
      <c r="AB131" t="s">
        <v>5736</v>
      </c>
      <c r="AC131">
        <v>49</v>
      </c>
      <c r="AD131" t="s">
        <v>6772</v>
      </c>
      <c r="AE131" t="s">
        <v>6788</v>
      </c>
      <c r="AF131">
        <v>4</v>
      </c>
      <c r="AG131">
        <v>2</v>
      </c>
      <c r="AH131">
        <v>1</v>
      </c>
      <c r="AI131">
        <v>11.7</v>
      </c>
      <c r="AL131" t="s">
        <v>6801</v>
      </c>
      <c r="AM131">
        <v>2496</v>
      </c>
    </row>
    <row r="132" spans="1:42">
      <c r="A132" s="1">
        <f>HYPERLINK("https://lsnyc.legalserver.org/matter/dynamic-profile/view/1915607","19-1915607")</f>
        <v>0</v>
      </c>
      <c r="B132" t="s">
        <v>51</v>
      </c>
      <c r="C132" t="s">
        <v>200</v>
      </c>
      <c r="E132" t="s">
        <v>496</v>
      </c>
      <c r="F132" t="s">
        <v>1372</v>
      </c>
      <c r="G132" t="s">
        <v>2274</v>
      </c>
      <c r="H132" t="s">
        <v>3155</v>
      </c>
      <c r="I132" t="s">
        <v>3490</v>
      </c>
      <c r="J132">
        <v>11213</v>
      </c>
      <c r="K132" t="s">
        <v>3522</v>
      </c>
      <c r="L132" t="s">
        <v>3525</v>
      </c>
      <c r="N132" t="s">
        <v>4113</v>
      </c>
      <c r="O132" t="s">
        <v>4133</v>
      </c>
      <c r="Q132" t="s">
        <v>4147</v>
      </c>
      <c r="R132" t="s">
        <v>3523</v>
      </c>
      <c r="T132" t="s">
        <v>4156</v>
      </c>
      <c r="V132" t="s">
        <v>200</v>
      </c>
      <c r="W132">
        <v>947</v>
      </c>
      <c r="X132" t="s">
        <v>4193</v>
      </c>
      <c r="Z132" t="s">
        <v>4331</v>
      </c>
      <c r="AB132" t="s">
        <v>5737</v>
      </c>
      <c r="AC132">
        <v>23</v>
      </c>
      <c r="AD132" t="s">
        <v>6772</v>
      </c>
      <c r="AF132">
        <v>22</v>
      </c>
      <c r="AG132">
        <v>3</v>
      </c>
      <c r="AH132">
        <v>3</v>
      </c>
      <c r="AI132">
        <v>12.14</v>
      </c>
      <c r="AL132" t="s">
        <v>6806</v>
      </c>
      <c r="AM132">
        <v>4200</v>
      </c>
    </row>
    <row r="133" spans="1:42">
      <c r="A133" s="1">
        <f>HYPERLINK("https://lsnyc.legalserver.org/matter/dynamic-profile/view/1909811","19-1909811")</f>
        <v>0</v>
      </c>
      <c r="B133" t="s">
        <v>60</v>
      </c>
      <c r="C133" t="s">
        <v>252</v>
      </c>
      <c r="E133" t="s">
        <v>497</v>
      </c>
      <c r="F133" t="s">
        <v>1373</v>
      </c>
      <c r="G133" t="s">
        <v>2275</v>
      </c>
      <c r="H133" t="s">
        <v>3146</v>
      </c>
      <c r="I133" t="s">
        <v>3490</v>
      </c>
      <c r="J133">
        <v>11233</v>
      </c>
      <c r="K133" t="s">
        <v>3522</v>
      </c>
      <c r="L133" t="s">
        <v>3525</v>
      </c>
      <c r="M133" t="s">
        <v>3594</v>
      </c>
      <c r="N133" t="s">
        <v>4109</v>
      </c>
      <c r="O133" t="s">
        <v>4134</v>
      </c>
      <c r="Q133" t="s">
        <v>4147</v>
      </c>
      <c r="R133" t="s">
        <v>3523</v>
      </c>
      <c r="T133" t="s">
        <v>4156</v>
      </c>
      <c r="U133" t="s">
        <v>4168</v>
      </c>
      <c r="V133" t="s">
        <v>252</v>
      </c>
      <c r="W133">
        <v>1515</v>
      </c>
      <c r="X133" t="s">
        <v>4193</v>
      </c>
      <c r="Y133" t="s">
        <v>4211</v>
      </c>
      <c r="Z133" t="s">
        <v>4332</v>
      </c>
      <c r="AA133" t="s">
        <v>5502</v>
      </c>
      <c r="AB133" t="s">
        <v>5738</v>
      </c>
      <c r="AC133">
        <v>6</v>
      </c>
      <c r="AD133" t="s">
        <v>6772</v>
      </c>
      <c r="AE133" t="s">
        <v>3526</v>
      </c>
      <c r="AF133">
        <v>3</v>
      </c>
      <c r="AG133">
        <v>1</v>
      </c>
      <c r="AH133">
        <v>0</v>
      </c>
      <c r="AI133">
        <v>13.63</v>
      </c>
      <c r="AL133" t="s">
        <v>6801</v>
      </c>
      <c r="AM133">
        <v>1703</v>
      </c>
    </row>
    <row r="134" spans="1:42">
      <c r="A134" s="1">
        <f>HYPERLINK("https://lsnyc.legalserver.org/matter/dynamic-profile/view/1908841","19-1908841")</f>
        <v>0</v>
      </c>
      <c r="B134" t="s">
        <v>69</v>
      </c>
      <c r="C134" t="s">
        <v>236</v>
      </c>
      <c r="E134" t="s">
        <v>498</v>
      </c>
      <c r="F134" t="s">
        <v>1374</v>
      </c>
      <c r="G134" t="s">
        <v>2276</v>
      </c>
      <c r="H134" t="s">
        <v>3185</v>
      </c>
      <c r="I134" t="s">
        <v>3490</v>
      </c>
      <c r="J134">
        <v>11239</v>
      </c>
      <c r="K134" t="s">
        <v>3522</v>
      </c>
      <c r="L134" t="s">
        <v>3527</v>
      </c>
      <c r="M134" t="s">
        <v>3595</v>
      </c>
      <c r="N134" t="s">
        <v>4109</v>
      </c>
      <c r="O134" t="s">
        <v>4134</v>
      </c>
      <c r="Q134" t="s">
        <v>4147</v>
      </c>
      <c r="R134" t="s">
        <v>3523</v>
      </c>
      <c r="T134" t="s">
        <v>4156</v>
      </c>
      <c r="U134" t="s">
        <v>4168</v>
      </c>
      <c r="V134" t="s">
        <v>236</v>
      </c>
      <c r="W134">
        <v>1896</v>
      </c>
      <c r="X134" t="s">
        <v>4193</v>
      </c>
      <c r="Y134" t="s">
        <v>4197</v>
      </c>
      <c r="Z134" t="s">
        <v>4333</v>
      </c>
      <c r="AA134" t="s">
        <v>5503</v>
      </c>
      <c r="AB134" t="s">
        <v>5739</v>
      </c>
      <c r="AC134">
        <v>1463</v>
      </c>
      <c r="AD134" t="s">
        <v>6776</v>
      </c>
      <c r="AE134" t="s">
        <v>6789</v>
      </c>
      <c r="AF134">
        <v>2</v>
      </c>
      <c r="AG134">
        <v>1</v>
      </c>
      <c r="AH134">
        <v>1</v>
      </c>
      <c r="AI134">
        <v>13.7</v>
      </c>
      <c r="AL134" t="s">
        <v>6801</v>
      </c>
      <c r="AM134">
        <v>2316</v>
      </c>
    </row>
    <row r="135" spans="1:42">
      <c r="A135" s="1">
        <f>HYPERLINK("https://lsnyc.legalserver.org/matter/dynamic-profile/view/1908234","19-1908234")</f>
        <v>0</v>
      </c>
      <c r="B135" t="s">
        <v>92</v>
      </c>
      <c r="C135" t="s">
        <v>211</v>
      </c>
      <c r="D135" t="s">
        <v>208</v>
      </c>
      <c r="E135" t="s">
        <v>499</v>
      </c>
      <c r="F135" t="s">
        <v>1375</v>
      </c>
      <c r="G135" t="s">
        <v>2277</v>
      </c>
      <c r="H135">
        <v>2</v>
      </c>
      <c r="I135" t="s">
        <v>3495</v>
      </c>
      <c r="J135">
        <v>10033</v>
      </c>
      <c r="K135" t="s">
        <v>3522</v>
      </c>
      <c r="L135" t="s">
        <v>3527</v>
      </c>
      <c r="N135" t="s">
        <v>4120</v>
      </c>
      <c r="O135" t="s">
        <v>4132</v>
      </c>
      <c r="P135" t="s">
        <v>4139</v>
      </c>
      <c r="Q135" t="s">
        <v>4147</v>
      </c>
      <c r="R135" t="s">
        <v>3523</v>
      </c>
      <c r="T135" t="s">
        <v>4161</v>
      </c>
      <c r="U135" t="s">
        <v>4168</v>
      </c>
      <c r="V135" t="s">
        <v>211</v>
      </c>
      <c r="W135">
        <v>1225.03</v>
      </c>
      <c r="X135" t="s">
        <v>4196</v>
      </c>
      <c r="Y135" t="s">
        <v>4205</v>
      </c>
      <c r="Z135" t="s">
        <v>4334</v>
      </c>
      <c r="AA135" t="s">
        <v>5504</v>
      </c>
      <c r="AB135" t="s">
        <v>5740</v>
      </c>
      <c r="AC135">
        <v>37</v>
      </c>
      <c r="AD135" t="s">
        <v>6772</v>
      </c>
      <c r="AE135" t="s">
        <v>6786</v>
      </c>
      <c r="AF135">
        <v>20</v>
      </c>
      <c r="AG135">
        <v>2</v>
      </c>
      <c r="AH135">
        <v>0</v>
      </c>
      <c r="AI135">
        <v>14.19</v>
      </c>
      <c r="AL135" t="s">
        <v>6802</v>
      </c>
      <c r="AM135">
        <v>2400</v>
      </c>
    </row>
    <row r="136" spans="1:42">
      <c r="A136" s="1">
        <f>HYPERLINK("https://lsnyc.legalserver.org/matter/dynamic-profile/view/1911932","19-1911932")</f>
        <v>0</v>
      </c>
      <c r="B136" t="s">
        <v>93</v>
      </c>
      <c r="C136" t="s">
        <v>251</v>
      </c>
      <c r="D136" t="s">
        <v>245</v>
      </c>
      <c r="E136" t="s">
        <v>500</v>
      </c>
      <c r="F136" t="s">
        <v>1376</v>
      </c>
      <c r="G136" t="s">
        <v>2278</v>
      </c>
      <c r="H136" t="s">
        <v>3186</v>
      </c>
      <c r="I136" t="s">
        <v>3495</v>
      </c>
      <c r="J136">
        <v>10034</v>
      </c>
      <c r="K136" t="s">
        <v>3522</v>
      </c>
      <c r="L136" t="s">
        <v>3525</v>
      </c>
      <c r="O136" t="s">
        <v>4132</v>
      </c>
      <c r="P136" t="s">
        <v>4139</v>
      </c>
      <c r="Q136" t="s">
        <v>4147</v>
      </c>
      <c r="R136" t="s">
        <v>3523</v>
      </c>
      <c r="T136" t="s">
        <v>4156</v>
      </c>
      <c r="V136" t="s">
        <v>251</v>
      </c>
      <c r="W136">
        <v>1409</v>
      </c>
      <c r="X136" t="s">
        <v>4196</v>
      </c>
      <c r="Y136" t="s">
        <v>4201</v>
      </c>
      <c r="Z136" t="s">
        <v>4335</v>
      </c>
      <c r="AB136" t="s">
        <v>5741</v>
      </c>
      <c r="AC136">
        <v>228</v>
      </c>
      <c r="AD136" t="s">
        <v>6772</v>
      </c>
      <c r="AE136" t="s">
        <v>3526</v>
      </c>
      <c r="AF136">
        <v>19</v>
      </c>
      <c r="AG136">
        <v>1</v>
      </c>
      <c r="AH136">
        <v>0</v>
      </c>
      <c r="AI136">
        <v>14.36</v>
      </c>
      <c r="AL136" t="s">
        <v>6801</v>
      </c>
      <c r="AM136">
        <v>1794</v>
      </c>
    </row>
    <row r="137" spans="1:42">
      <c r="A137" s="1">
        <f>HYPERLINK("https://lsnyc.legalserver.org/matter/dynamic-profile/view/1909296","19-1909296")</f>
        <v>0</v>
      </c>
      <c r="B137" t="s">
        <v>57</v>
      </c>
      <c r="C137" t="s">
        <v>197</v>
      </c>
      <c r="E137" t="s">
        <v>501</v>
      </c>
      <c r="F137" t="s">
        <v>1321</v>
      </c>
      <c r="G137" t="s">
        <v>2272</v>
      </c>
      <c r="H137">
        <v>143</v>
      </c>
      <c r="I137" t="s">
        <v>3490</v>
      </c>
      <c r="J137">
        <v>11208</v>
      </c>
      <c r="K137" t="s">
        <v>3522</v>
      </c>
      <c r="L137" t="s">
        <v>3525</v>
      </c>
      <c r="M137" t="s">
        <v>3554</v>
      </c>
      <c r="N137" t="s">
        <v>4120</v>
      </c>
      <c r="O137" t="s">
        <v>4135</v>
      </c>
      <c r="Q137" t="s">
        <v>4147</v>
      </c>
      <c r="R137" t="s">
        <v>3523</v>
      </c>
      <c r="T137" t="s">
        <v>4156</v>
      </c>
      <c r="U137" t="s">
        <v>4168</v>
      </c>
      <c r="V137" t="s">
        <v>252</v>
      </c>
      <c r="W137">
        <v>1000</v>
      </c>
      <c r="X137" t="s">
        <v>4193</v>
      </c>
      <c r="Y137" t="s">
        <v>4198</v>
      </c>
      <c r="Z137" t="s">
        <v>4336</v>
      </c>
      <c r="AA137" t="s">
        <v>5505</v>
      </c>
      <c r="AB137" t="s">
        <v>5742</v>
      </c>
      <c r="AC137">
        <v>266</v>
      </c>
      <c r="AD137" t="s">
        <v>6778</v>
      </c>
      <c r="AE137" t="s">
        <v>6786</v>
      </c>
      <c r="AF137">
        <v>28</v>
      </c>
      <c r="AG137">
        <v>1</v>
      </c>
      <c r="AH137">
        <v>0</v>
      </c>
      <c r="AI137">
        <v>14.58</v>
      </c>
      <c r="AL137" t="s">
        <v>6801</v>
      </c>
      <c r="AM137">
        <v>1821.6</v>
      </c>
    </row>
    <row r="138" spans="1:42">
      <c r="A138" s="1">
        <f>HYPERLINK("https://lsnyc.legalserver.org/matter/dynamic-profile/view/1906910","19-1906910")</f>
        <v>0</v>
      </c>
      <c r="B138" t="s">
        <v>94</v>
      </c>
      <c r="C138" t="s">
        <v>217</v>
      </c>
      <c r="E138" t="s">
        <v>402</v>
      </c>
      <c r="F138" t="s">
        <v>1377</v>
      </c>
      <c r="G138" t="s">
        <v>2279</v>
      </c>
      <c r="H138" t="s">
        <v>3146</v>
      </c>
      <c r="I138" t="s">
        <v>3495</v>
      </c>
      <c r="J138">
        <v>10035</v>
      </c>
      <c r="K138" t="s">
        <v>3522</v>
      </c>
      <c r="L138" t="s">
        <v>3525</v>
      </c>
      <c r="N138" t="s">
        <v>4121</v>
      </c>
      <c r="O138" t="s">
        <v>4133</v>
      </c>
      <c r="Q138" t="s">
        <v>4147</v>
      </c>
      <c r="R138" t="s">
        <v>3523</v>
      </c>
      <c r="T138" t="s">
        <v>4156</v>
      </c>
      <c r="U138" t="s">
        <v>4169</v>
      </c>
      <c r="V138" t="s">
        <v>217</v>
      </c>
      <c r="W138">
        <v>645</v>
      </c>
      <c r="X138" t="s">
        <v>4196</v>
      </c>
      <c r="Y138" t="s">
        <v>4201</v>
      </c>
      <c r="Z138" t="s">
        <v>4337</v>
      </c>
      <c r="AA138" t="s">
        <v>5506</v>
      </c>
      <c r="AC138">
        <v>8</v>
      </c>
      <c r="AD138" t="s">
        <v>6772</v>
      </c>
      <c r="AE138" t="s">
        <v>6788</v>
      </c>
      <c r="AF138">
        <v>20</v>
      </c>
      <c r="AG138">
        <v>1</v>
      </c>
      <c r="AH138">
        <v>2</v>
      </c>
      <c r="AI138">
        <v>14.91</v>
      </c>
      <c r="AL138" t="s">
        <v>6802</v>
      </c>
      <c r="AM138">
        <v>3180</v>
      </c>
      <c r="AP138" t="s">
        <v>6927</v>
      </c>
    </row>
    <row r="139" spans="1:42">
      <c r="A139" s="1">
        <f>HYPERLINK("https://lsnyc.legalserver.org/matter/dynamic-profile/view/1912815","19-1912815")</f>
        <v>0</v>
      </c>
      <c r="B139" t="s">
        <v>55</v>
      </c>
      <c r="C139" t="s">
        <v>253</v>
      </c>
      <c r="E139" t="s">
        <v>502</v>
      </c>
      <c r="F139" t="s">
        <v>1378</v>
      </c>
      <c r="G139" t="s">
        <v>2280</v>
      </c>
      <c r="H139" t="s">
        <v>3170</v>
      </c>
      <c r="I139" t="s">
        <v>3490</v>
      </c>
      <c r="J139">
        <v>11233</v>
      </c>
      <c r="K139" t="s">
        <v>3522</v>
      </c>
      <c r="L139" t="s">
        <v>3525</v>
      </c>
      <c r="M139" t="s">
        <v>3596</v>
      </c>
      <c r="N139" t="s">
        <v>4109</v>
      </c>
      <c r="O139" t="s">
        <v>4134</v>
      </c>
      <c r="Q139" t="s">
        <v>4147</v>
      </c>
      <c r="R139" t="s">
        <v>3523</v>
      </c>
      <c r="T139" t="s">
        <v>4156</v>
      </c>
      <c r="U139" t="s">
        <v>4168</v>
      </c>
      <c r="V139" t="s">
        <v>199</v>
      </c>
      <c r="W139">
        <v>520</v>
      </c>
      <c r="X139" t="s">
        <v>4193</v>
      </c>
      <c r="Y139" t="s">
        <v>4200</v>
      </c>
      <c r="Z139" t="s">
        <v>4338</v>
      </c>
      <c r="AB139" t="s">
        <v>5743</v>
      </c>
      <c r="AC139">
        <v>112</v>
      </c>
      <c r="AD139" t="s">
        <v>6779</v>
      </c>
      <c r="AE139" t="s">
        <v>4200</v>
      </c>
      <c r="AF139">
        <v>12</v>
      </c>
      <c r="AG139">
        <v>4</v>
      </c>
      <c r="AH139">
        <v>0</v>
      </c>
      <c r="AI139">
        <v>15.15</v>
      </c>
      <c r="AL139" t="s">
        <v>6802</v>
      </c>
      <c r="AM139">
        <v>3900</v>
      </c>
    </row>
    <row r="140" spans="1:42">
      <c r="A140" s="1">
        <f>HYPERLINK("https://lsnyc.legalserver.org/matter/dynamic-profile/view/1912946","19-1912946")</f>
        <v>0</v>
      </c>
      <c r="B140" t="s">
        <v>98</v>
      </c>
      <c r="C140" t="s">
        <v>196</v>
      </c>
      <c r="E140" t="s">
        <v>503</v>
      </c>
      <c r="F140" t="s">
        <v>1379</v>
      </c>
      <c r="G140" t="s">
        <v>2281</v>
      </c>
      <c r="H140" t="s">
        <v>3151</v>
      </c>
      <c r="I140" t="s">
        <v>3497</v>
      </c>
      <c r="J140">
        <v>11385</v>
      </c>
      <c r="K140" t="s">
        <v>3522</v>
      </c>
      <c r="L140" t="s">
        <v>3525</v>
      </c>
      <c r="M140" t="s">
        <v>3597</v>
      </c>
      <c r="N140" t="s">
        <v>4108</v>
      </c>
      <c r="O140" t="s">
        <v>4132</v>
      </c>
      <c r="Q140" t="s">
        <v>4147</v>
      </c>
      <c r="R140" t="s">
        <v>3523</v>
      </c>
      <c r="T140" t="s">
        <v>4156</v>
      </c>
      <c r="V140" t="s">
        <v>196</v>
      </c>
      <c r="W140">
        <v>1500</v>
      </c>
      <c r="X140" t="s">
        <v>4192</v>
      </c>
      <c r="Y140" t="s">
        <v>4197</v>
      </c>
      <c r="Z140" t="s">
        <v>4339</v>
      </c>
      <c r="AB140" t="s">
        <v>5744</v>
      </c>
      <c r="AC140">
        <v>6</v>
      </c>
      <c r="AD140" t="s">
        <v>5524</v>
      </c>
      <c r="AE140" t="s">
        <v>6786</v>
      </c>
      <c r="AF140">
        <v>46</v>
      </c>
      <c r="AG140">
        <v>1</v>
      </c>
      <c r="AH140">
        <v>0</v>
      </c>
      <c r="AI140">
        <v>15.25</v>
      </c>
      <c r="AL140" t="s">
        <v>6801</v>
      </c>
      <c r="AM140">
        <v>1905.02</v>
      </c>
    </row>
    <row r="141" spans="1:42">
      <c r="A141" s="1">
        <f>HYPERLINK("https://lsnyc.legalserver.org/matter/dynamic-profile/view/1888831","19-1888831")</f>
        <v>0</v>
      </c>
      <c r="B141" t="s">
        <v>96</v>
      </c>
      <c r="C141" t="s">
        <v>254</v>
      </c>
      <c r="D141" t="s">
        <v>315</v>
      </c>
      <c r="E141" t="s">
        <v>504</v>
      </c>
      <c r="F141" t="s">
        <v>1380</v>
      </c>
      <c r="G141" t="s">
        <v>2282</v>
      </c>
      <c r="H141" t="s">
        <v>3187</v>
      </c>
      <c r="I141" t="s">
        <v>3493</v>
      </c>
      <c r="J141">
        <v>10454</v>
      </c>
      <c r="K141" t="s">
        <v>3524</v>
      </c>
      <c r="M141" t="s">
        <v>3598</v>
      </c>
      <c r="N141" t="s">
        <v>4107</v>
      </c>
      <c r="O141" t="s">
        <v>4132</v>
      </c>
      <c r="P141" t="s">
        <v>4139</v>
      </c>
      <c r="Q141" t="s">
        <v>4147</v>
      </c>
      <c r="R141" t="s">
        <v>3523</v>
      </c>
      <c r="T141" t="s">
        <v>4156</v>
      </c>
      <c r="U141" t="s">
        <v>4168</v>
      </c>
      <c r="V141" t="s">
        <v>289</v>
      </c>
      <c r="W141">
        <v>2000</v>
      </c>
      <c r="X141" t="s">
        <v>4194</v>
      </c>
      <c r="Y141" t="s">
        <v>4204</v>
      </c>
      <c r="Z141" t="s">
        <v>4340</v>
      </c>
      <c r="AB141" t="s">
        <v>5745</v>
      </c>
      <c r="AC141">
        <v>0</v>
      </c>
      <c r="AD141" t="s">
        <v>6772</v>
      </c>
      <c r="AE141" t="s">
        <v>4200</v>
      </c>
      <c r="AF141">
        <v>1</v>
      </c>
      <c r="AG141">
        <v>1</v>
      </c>
      <c r="AH141">
        <v>1</v>
      </c>
      <c r="AI141">
        <v>15.26</v>
      </c>
      <c r="AL141" t="s">
        <v>6801</v>
      </c>
      <c r="AM141">
        <v>2580</v>
      </c>
      <c r="AN141" t="s">
        <v>6827</v>
      </c>
    </row>
    <row r="142" spans="1:42">
      <c r="A142" s="1">
        <f>HYPERLINK("https://lsnyc.legalserver.org/matter/dynamic-profile/view/1905196","19-1905196")</f>
        <v>0</v>
      </c>
      <c r="B142" t="s">
        <v>99</v>
      </c>
      <c r="C142" t="s">
        <v>255</v>
      </c>
      <c r="E142" t="s">
        <v>505</v>
      </c>
      <c r="F142" t="s">
        <v>1262</v>
      </c>
      <c r="G142" t="s">
        <v>2283</v>
      </c>
      <c r="H142" t="s">
        <v>3170</v>
      </c>
      <c r="I142" t="s">
        <v>3495</v>
      </c>
      <c r="J142">
        <v>10024</v>
      </c>
      <c r="K142" t="s">
        <v>3522</v>
      </c>
      <c r="L142" t="s">
        <v>3525</v>
      </c>
      <c r="M142" t="s">
        <v>3599</v>
      </c>
      <c r="N142" t="s">
        <v>4110</v>
      </c>
      <c r="O142" t="s">
        <v>4137</v>
      </c>
      <c r="Q142" t="s">
        <v>4147</v>
      </c>
      <c r="R142" t="s">
        <v>3522</v>
      </c>
      <c r="T142" t="s">
        <v>4156</v>
      </c>
      <c r="U142" t="s">
        <v>4168</v>
      </c>
      <c r="V142" t="s">
        <v>216</v>
      </c>
      <c r="W142">
        <v>875</v>
      </c>
      <c r="X142" t="s">
        <v>4196</v>
      </c>
      <c r="Y142" t="s">
        <v>4207</v>
      </c>
      <c r="Z142" t="s">
        <v>4341</v>
      </c>
      <c r="AB142" t="s">
        <v>5746</v>
      </c>
      <c r="AC142">
        <v>10</v>
      </c>
      <c r="AD142" t="s">
        <v>6772</v>
      </c>
      <c r="AE142" t="s">
        <v>6791</v>
      </c>
      <c r="AF142">
        <v>48</v>
      </c>
      <c r="AG142">
        <v>2</v>
      </c>
      <c r="AH142">
        <v>0</v>
      </c>
      <c r="AI142">
        <v>15.97</v>
      </c>
      <c r="AL142" t="s">
        <v>6801</v>
      </c>
      <c r="AM142">
        <v>2700</v>
      </c>
    </row>
    <row r="143" spans="1:42">
      <c r="A143" s="1">
        <f>HYPERLINK("https://lsnyc.legalserver.org/matter/dynamic-profile/view/1909633","19-1909633")</f>
        <v>0</v>
      </c>
      <c r="B143" t="s">
        <v>77</v>
      </c>
      <c r="C143" t="s">
        <v>231</v>
      </c>
      <c r="D143" t="s">
        <v>327</v>
      </c>
      <c r="E143" t="s">
        <v>506</v>
      </c>
      <c r="F143" t="s">
        <v>1381</v>
      </c>
      <c r="G143" t="s">
        <v>2284</v>
      </c>
      <c r="H143" t="s">
        <v>3149</v>
      </c>
      <c r="I143" t="s">
        <v>3493</v>
      </c>
      <c r="J143">
        <v>10452</v>
      </c>
      <c r="K143" t="s">
        <v>3522</v>
      </c>
      <c r="L143" t="s">
        <v>3525</v>
      </c>
      <c r="N143" t="s">
        <v>3554</v>
      </c>
      <c r="O143" t="s">
        <v>4132</v>
      </c>
      <c r="P143" t="s">
        <v>4139</v>
      </c>
      <c r="Q143" t="s">
        <v>4147</v>
      </c>
      <c r="R143" t="s">
        <v>3523</v>
      </c>
      <c r="T143" t="s">
        <v>4156</v>
      </c>
      <c r="V143" t="s">
        <v>227</v>
      </c>
      <c r="W143">
        <v>100</v>
      </c>
      <c r="X143" t="s">
        <v>4194</v>
      </c>
      <c r="Y143" t="s">
        <v>4206</v>
      </c>
      <c r="Z143" t="s">
        <v>4342</v>
      </c>
      <c r="AB143" t="s">
        <v>5747</v>
      </c>
      <c r="AC143">
        <v>27</v>
      </c>
      <c r="AE143" t="s">
        <v>6786</v>
      </c>
      <c r="AF143">
        <v>25</v>
      </c>
      <c r="AG143">
        <v>1</v>
      </c>
      <c r="AH143">
        <v>0</v>
      </c>
      <c r="AI143">
        <v>15.99</v>
      </c>
      <c r="AL143" t="s">
        <v>6801</v>
      </c>
      <c r="AM143">
        <v>1997.28</v>
      </c>
    </row>
    <row r="144" spans="1:42">
      <c r="A144" s="1">
        <f>HYPERLINK("https://lsnyc.legalserver.org/matter/dynamic-profile/view/1912231","19-1912231")</f>
        <v>0</v>
      </c>
      <c r="B144" t="s">
        <v>44</v>
      </c>
      <c r="C144" t="s">
        <v>256</v>
      </c>
      <c r="E144" t="s">
        <v>507</v>
      </c>
      <c r="F144" t="s">
        <v>1382</v>
      </c>
      <c r="G144" t="s">
        <v>2285</v>
      </c>
      <c r="H144" t="s">
        <v>3161</v>
      </c>
      <c r="I144" t="s">
        <v>3498</v>
      </c>
      <c r="J144">
        <v>11415</v>
      </c>
      <c r="K144" t="s">
        <v>3522</v>
      </c>
      <c r="L144" t="s">
        <v>3525</v>
      </c>
      <c r="M144" t="s">
        <v>3600</v>
      </c>
      <c r="N144" t="s">
        <v>4109</v>
      </c>
      <c r="O144" t="s">
        <v>4132</v>
      </c>
      <c r="Q144" t="s">
        <v>4147</v>
      </c>
      <c r="R144" t="s">
        <v>3523</v>
      </c>
      <c r="T144" t="s">
        <v>4156</v>
      </c>
      <c r="U144" t="s">
        <v>4167</v>
      </c>
      <c r="V144" t="s">
        <v>256</v>
      </c>
      <c r="W144">
        <v>1467.75</v>
      </c>
      <c r="X144" t="s">
        <v>4192</v>
      </c>
      <c r="Y144" t="s">
        <v>4197</v>
      </c>
      <c r="Z144" t="s">
        <v>4343</v>
      </c>
      <c r="AA144" t="s">
        <v>5507</v>
      </c>
      <c r="AB144" t="s">
        <v>5748</v>
      </c>
      <c r="AC144">
        <v>60</v>
      </c>
      <c r="AD144" t="s">
        <v>6772</v>
      </c>
      <c r="AE144" t="s">
        <v>6790</v>
      </c>
      <c r="AF144">
        <v>2</v>
      </c>
      <c r="AG144">
        <v>1</v>
      </c>
      <c r="AH144">
        <v>0</v>
      </c>
      <c r="AI144">
        <v>16.33</v>
      </c>
      <c r="AL144" t="s">
        <v>6801</v>
      </c>
      <c r="AM144">
        <v>2040</v>
      </c>
    </row>
    <row r="145" spans="1:44">
      <c r="A145" s="1">
        <f>HYPERLINK("https://lsnyc.legalserver.org/matter/dynamic-profile/view/1907304","19-1907304")</f>
        <v>0</v>
      </c>
      <c r="B145" t="s">
        <v>65</v>
      </c>
      <c r="C145" t="s">
        <v>185</v>
      </c>
      <c r="E145" t="s">
        <v>402</v>
      </c>
      <c r="F145" t="s">
        <v>1383</v>
      </c>
      <c r="G145" t="s">
        <v>2204</v>
      </c>
      <c r="H145" t="s">
        <v>3188</v>
      </c>
      <c r="I145" t="s">
        <v>3490</v>
      </c>
      <c r="J145">
        <v>11225</v>
      </c>
      <c r="K145" t="s">
        <v>3522</v>
      </c>
      <c r="N145" t="s">
        <v>4112</v>
      </c>
      <c r="O145" t="s">
        <v>4133</v>
      </c>
      <c r="Q145" t="s">
        <v>4147</v>
      </c>
      <c r="R145" t="s">
        <v>3522</v>
      </c>
      <c r="S145" t="s">
        <v>4149</v>
      </c>
      <c r="T145" t="s">
        <v>4156</v>
      </c>
      <c r="V145" t="s">
        <v>185</v>
      </c>
      <c r="W145">
        <v>0</v>
      </c>
      <c r="X145" t="s">
        <v>4193</v>
      </c>
      <c r="Z145" t="s">
        <v>4344</v>
      </c>
      <c r="AB145" t="s">
        <v>5749</v>
      </c>
      <c r="AC145">
        <v>46</v>
      </c>
      <c r="AF145">
        <v>0</v>
      </c>
      <c r="AG145">
        <v>3</v>
      </c>
      <c r="AH145">
        <v>0</v>
      </c>
      <c r="AI145">
        <v>16.37</v>
      </c>
      <c r="AL145" t="s">
        <v>6802</v>
      </c>
      <c r="AM145">
        <v>3492</v>
      </c>
    </row>
    <row r="146" spans="1:44">
      <c r="A146" s="1">
        <f>HYPERLINK("https://lsnyc.legalserver.org/matter/dynamic-profile/view/1910742","19-1910742")</f>
        <v>0</v>
      </c>
      <c r="B146" t="s">
        <v>47</v>
      </c>
      <c r="C146" t="s">
        <v>257</v>
      </c>
      <c r="E146" t="s">
        <v>508</v>
      </c>
      <c r="F146" t="s">
        <v>1384</v>
      </c>
      <c r="G146" t="s">
        <v>2286</v>
      </c>
      <c r="H146" t="s">
        <v>3135</v>
      </c>
      <c r="I146" t="s">
        <v>3499</v>
      </c>
      <c r="J146">
        <v>11428</v>
      </c>
      <c r="K146" t="s">
        <v>3522</v>
      </c>
      <c r="L146" t="s">
        <v>3525</v>
      </c>
      <c r="M146" t="s">
        <v>3601</v>
      </c>
      <c r="N146" t="s">
        <v>4107</v>
      </c>
      <c r="O146" t="s">
        <v>4134</v>
      </c>
      <c r="Q146" t="s">
        <v>4147</v>
      </c>
      <c r="R146" t="s">
        <v>3523</v>
      </c>
      <c r="T146" t="s">
        <v>4156</v>
      </c>
      <c r="U146" t="s">
        <v>4168</v>
      </c>
      <c r="V146" t="s">
        <v>257</v>
      </c>
      <c r="W146">
        <v>600</v>
      </c>
      <c r="X146" t="s">
        <v>4192</v>
      </c>
      <c r="Y146" t="s">
        <v>4197</v>
      </c>
      <c r="Z146" t="s">
        <v>4345</v>
      </c>
      <c r="AB146" t="s">
        <v>5750</v>
      </c>
      <c r="AC146">
        <v>3</v>
      </c>
      <c r="AD146" t="s">
        <v>5524</v>
      </c>
      <c r="AE146" t="s">
        <v>3526</v>
      </c>
      <c r="AF146">
        <v>6</v>
      </c>
      <c r="AG146">
        <v>1</v>
      </c>
      <c r="AH146">
        <v>0</v>
      </c>
      <c r="AI146">
        <v>16.65</v>
      </c>
      <c r="AL146" t="s">
        <v>6801</v>
      </c>
      <c r="AM146">
        <v>2080</v>
      </c>
      <c r="AP146" t="s">
        <v>4200</v>
      </c>
    </row>
    <row r="147" spans="1:44">
      <c r="A147" s="1">
        <f>HYPERLINK("https://lsnyc.legalserver.org/matter/dynamic-profile/view/1908834","19-1908834")</f>
        <v>0</v>
      </c>
      <c r="B147" t="s">
        <v>77</v>
      </c>
      <c r="C147" t="s">
        <v>236</v>
      </c>
      <c r="D147" t="s">
        <v>223</v>
      </c>
      <c r="E147" t="s">
        <v>499</v>
      </c>
      <c r="F147" t="s">
        <v>1265</v>
      </c>
      <c r="G147" t="s">
        <v>2287</v>
      </c>
      <c r="H147" t="s">
        <v>3189</v>
      </c>
      <c r="I147" t="s">
        <v>3493</v>
      </c>
      <c r="J147">
        <v>10455</v>
      </c>
      <c r="K147" t="s">
        <v>3522</v>
      </c>
      <c r="L147" t="s">
        <v>3525</v>
      </c>
      <c r="N147" t="s">
        <v>3554</v>
      </c>
      <c r="O147" t="s">
        <v>4132</v>
      </c>
      <c r="P147" t="s">
        <v>4139</v>
      </c>
      <c r="Q147" t="s">
        <v>4147</v>
      </c>
      <c r="R147" t="s">
        <v>3523</v>
      </c>
      <c r="T147" t="s">
        <v>4156</v>
      </c>
      <c r="V147" t="s">
        <v>291</v>
      </c>
      <c r="W147">
        <v>903</v>
      </c>
      <c r="X147" t="s">
        <v>4194</v>
      </c>
      <c r="Y147" t="s">
        <v>4210</v>
      </c>
      <c r="Z147" t="s">
        <v>4346</v>
      </c>
      <c r="AB147" t="s">
        <v>5751</v>
      </c>
      <c r="AC147">
        <v>0</v>
      </c>
      <c r="AD147" t="s">
        <v>6778</v>
      </c>
      <c r="AE147" t="s">
        <v>6786</v>
      </c>
      <c r="AF147">
        <v>21</v>
      </c>
      <c r="AG147">
        <v>1</v>
      </c>
      <c r="AH147">
        <v>0</v>
      </c>
      <c r="AI147">
        <v>17.29</v>
      </c>
      <c r="AL147" t="s">
        <v>6802</v>
      </c>
      <c r="AM147">
        <v>2160</v>
      </c>
    </row>
    <row r="148" spans="1:44">
      <c r="A148" s="1">
        <f>HYPERLINK("https://lsnyc.legalserver.org/matter/dynamic-profile/view/1907762","19-1907762")</f>
        <v>0</v>
      </c>
      <c r="B148" t="s">
        <v>90</v>
      </c>
      <c r="C148" t="s">
        <v>222</v>
      </c>
      <c r="D148" t="s">
        <v>236</v>
      </c>
      <c r="E148" t="s">
        <v>509</v>
      </c>
      <c r="F148" t="s">
        <v>1385</v>
      </c>
      <c r="G148" t="s">
        <v>2288</v>
      </c>
      <c r="H148" t="s">
        <v>3190</v>
      </c>
      <c r="I148" t="s">
        <v>3495</v>
      </c>
      <c r="J148">
        <v>10034</v>
      </c>
      <c r="K148" t="s">
        <v>3522</v>
      </c>
      <c r="L148" t="s">
        <v>3527</v>
      </c>
      <c r="N148" t="s">
        <v>3554</v>
      </c>
      <c r="O148" t="s">
        <v>4132</v>
      </c>
      <c r="P148" t="s">
        <v>4139</v>
      </c>
      <c r="Q148" t="s">
        <v>4147</v>
      </c>
      <c r="R148" t="s">
        <v>3523</v>
      </c>
      <c r="T148" t="s">
        <v>4156</v>
      </c>
      <c r="V148" t="s">
        <v>222</v>
      </c>
      <c r="W148">
        <v>1403</v>
      </c>
      <c r="X148" t="s">
        <v>4196</v>
      </c>
      <c r="Y148" t="s">
        <v>4207</v>
      </c>
      <c r="Z148" t="s">
        <v>4347</v>
      </c>
      <c r="AA148" t="s">
        <v>5508</v>
      </c>
      <c r="AB148" t="s">
        <v>5752</v>
      </c>
      <c r="AC148">
        <v>31</v>
      </c>
      <c r="AD148" t="s">
        <v>6772</v>
      </c>
      <c r="AE148" t="s">
        <v>3526</v>
      </c>
      <c r="AF148">
        <v>1</v>
      </c>
      <c r="AG148">
        <v>1</v>
      </c>
      <c r="AH148">
        <v>0</v>
      </c>
      <c r="AI148">
        <v>17.29</v>
      </c>
      <c r="AL148" t="s">
        <v>6801</v>
      </c>
      <c r="AM148">
        <v>2160</v>
      </c>
    </row>
    <row r="149" spans="1:44">
      <c r="A149" s="1">
        <f>HYPERLINK("https://lsnyc.legalserver.org/matter/dynamic-profile/view/1909543","19-1909543")</f>
        <v>0</v>
      </c>
      <c r="B149" t="s">
        <v>49</v>
      </c>
      <c r="C149" t="s">
        <v>184</v>
      </c>
      <c r="E149" t="s">
        <v>510</v>
      </c>
      <c r="F149" t="s">
        <v>1386</v>
      </c>
      <c r="G149" t="s">
        <v>2289</v>
      </c>
      <c r="H149" t="s">
        <v>3191</v>
      </c>
      <c r="I149" t="s">
        <v>3488</v>
      </c>
      <c r="J149">
        <v>11355</v>
      </c>
      <c r="K149" t="s">
        <v>3522</v>
      </c>
      <c r="L149" t="s">
        <v>3525</v>
      </c>
      <c r="M149" t="s">
        <v>3602</v>
      </c>
      <c r="N149" t="s">
        <v>4109</v>
      </c>
      <c r="O149" t="s">
        <v>4134</v>
      </c>
      <c r="Q149" t="s">
        <v>4147</v>
      </c>
      <c r="R149" t="s">
        <v>3523</v>
      </c>
      <c r="T149" t="s">
        <v>4156</v>
      </c>
      <c r="U149" t="s">
        <v>4168</v>
      </c>
      <c r="V149" t="s">
        <v>184</v>
      </c>
      <c r="W149">
        <v>1257.22</v>
      </c>
      <c r="X149" t="s">
        <v>4192</v>
      </c>
      <c r="Y149" t="s">
        <v>4206</v>
      </c>
      <c r="Z149" t="s">
        <v>4348</v>
      </c>
      <c r="AB149" t="s">
        <v>5753</v>
      </c>
      <c r="AC149">
        <v>289</v>
      </c>
      <c r="AD149" t="s">
        <v>6772</v>
      </c>
      <c r="AE149" t="s">
        <v>3526</v>
      </c>
      <c r="AF149">
        <v>11</v>
      </c>
      <c r="AG149">
        <v>1</v>
      </c>
      <c r="AH149">
        <v>0</v>
      </c>
      <c r="AI149">
        <v>17.58</v>
      </c>
      <c r="AL149" t="s">
        <v>6807</v>
      </c>
      <c r="AM149">
        <v>2196</v>
      </c>
      <c r="AP149" t="s">
        <v>6924</v>
      </c>
      <c r="AQ149" t="s">
        <v>6945</v>
      </c>
      <c r="AR149" t="s">
        <v>6957</v>
      </c>
    </row>
    <row r="150" spans="1:44">
      <c r="A150" s="1">
        <f>HYPERLINK("https://lsnyc.legalserver.org/matter/dynamic-profile/view/1908818","19-1908818")</f>
        <v>0</v>
      </c>
      <c r="B150" t="s">
        <v>100</v>
      </c>
      <c r="C150" t="s">
        <v>236</v>
      </c>
      <c r="E150" t="s">
        <v>511</v>
      </c>
      <c r="F150" t="s">
        <v>1387</v>
      </c>
      <c r="G150" t="s">
        <v>2290</v>
      </c>
      <c r="H150" t="s">
        <v>3192</v>
      </c>
      <c r="I150" t="s">
        <v>3490</v>
      </c>
      <c r="J150">
        <v>11207</v>
      </c>
      <c r="K150" t="s">
        <v>3522</v>
      </c>
      <c r="L150" t="s">
        <v>3525</v>
      </c>
      <c r="M150" t="s">
        <v>3603</v>
      </c>
      <c r="N150" t="s">
        <v>4107</v>
      </c>
      <c r="O150" t="s">
        <v>4132</v>
      </c>
      <c r="Q150" t="s">
        <v>4147</v>
      </c>
      <c r="R150" t="s">
        <v>3523</v>
      </c>
      <c r="T150" t="s">
        <v>4156</v>
      </c>
      <c r="V150" t="s">
        <v>224</v>
      </c>
      <c r="W150">
        <v>800</v>
      </c>
      <c r="X150" t="s">
        <v>4193</v>
      </c>
      <c r="Y150" t="s">
        <v>4197</v>
      </c>
      <c r="Z150" t="s">
        <v>4349</v>
      </c>
      <c r="AB150" t="s">
        <v>5754</v>
      </c>
      <c r="AC150">
        <v>0</v>
      </c>
      <c r="AF150">
        <v>0</v>
      </c>
      <c r="AG150">
        <v>1</v>
      </c>
      <c r="AH150">
        <v>0</v>
      </c>
      <c r="AI150">
        <v>17.58</v>
      </c>
      <c r="AL150" t="s">
        <v>6801</v>
      </c>
      <c r="AM150">
        <v>2196</v>
      </c>
    </row>
    <row r="151" spans="1:44">
      <c r="A151" s="1">
        <f>HYPERLINK("https://lsnyc.legalserver.org/matter/dynamic-profile/view/1910779","19-1910779")</f>
        <v>0</v>
      </c>
      <c r="B151" t="s">
        <v>47</v>
      </c>
      <c r="C151" t="s">
        <v>257</v>
      </c>
      <c r="E151" t="s">
        <v>512</v>
      </c>
      <c r="F151" t="s">
        <v>1388</v>
      </c>
      <c r="G151" t="s">
        <v>2291</v>
      </c>
      <c r="H151" t="s">
        <v>3178</v>
      </c>
      <c r="I151" t="s">
        <v>3492</v>
      </c>
      <c r="J151">
        <v>11104</v>
      </c>
      <c r="K151" t="s">
        <v>3522</v>
      </c>
      <c r="L151" t="s">
        <v>3525</v>
      </c>
      <c r="M151" t="s">
        <v>3604</v>
      </c>
      <c r="N151" t="s">
        <v>4109</v>
      </c>
      <c r="O151" t="s">
        <v>4134</v>
      </c>
      <c r="Q151" t="s">
        <v>4147</v>
      </c>
      <c r="R151" t="s">
        <v>3523</v>
      </c>
      <c r="T151" t="s">
        <v>4156</v>
      </c>
      <c r="U151" t="s">
        <v>4168</v>
      </c>
      <c r="V151" t="s">
        <v>204</v>
      </c>
      <c r="W151">
        <v>1531</v>
      </c>
      <c r="X151" t="s">
        <v>4192</v>
      </c>
      <c r="Y151" t="s">
        <v>4197</v>
      </c>
      <c r="Z151" t="s">
        <v>4350</v>
      </c>
      <c r="AA151" t="s">
        <v>5509</v>
      </c>
      <c r="AB151" t="s">
        <v>5755</v>
      </c>
      <c r="AC151">
        <v>96</v>
      </c>
      <c r="AD151" t="s">
        <v>6772</v>
      </c>
      <c r="AE151" t="s">
        <v>3526</v>
      </c>
      <c r="AF151">
        <v>15</v>
      </c>
      <c r="AG151">
        <v>1</v>
      </c>
      <c r="AH151">
        <v>0</v>
      </c>
      <c r="AI151">
        <v>17.58</v>
      </c>
      <c r="AL151" t="s">
        <v>6801</v>
      </c>
      <c r="AM151">
        <v>2196</v>
      </c>
    </row>
    <row r="152" spans="1:44">
      <c r="A152" s="1">
        <f>HYPERLINK("https://lsnyc.legalserver.org/matter/dynamic-profile/view/1915576","19-1915576")</f>
        <v>0</v>
      </c>
      <c r="B152" t="s">
        <v>65</v>
      </c>
      <c r="C152" t="s">
        <v>200</v>
      </c>
      <c r="E152" t="s">
        <v>513</v>
      </c>
      <c r="F152" t="s">
        <v>1389</v>
      </c>
      <c r="G152" t="s">
        <v>2292</v>
      </c>
      <c r="H152" t="s">
        <v>3131</v>
      </c>
      <c r="I152" t="s">
        <v>3490</v>
      </c>
      <c r="J152">
        <v>11226</v>
      </c>
      <c r="K152" t="s">
        <v>3522</v>
      </c>
      <c r="L152" t="s">
        <v>3525</v>
      </c>
      <c r="N152" t="s">
        <v>4112</v>
      </c>
      <c r="O152" t="s">
        <v>4133</v>
      </c>
      <c r="Q152" t="s">
        <v>4147</v>
      </c>
      <c r="R152" t="s">
        <v>3522</v>
      </c>
      <c r="T152" t="s">
        <v>4156</v>
      </c>
      <c r="V152" t="s">
        <v>219</v>
      </c>
      <c r="W152">
        <v>12000</v>
      </c>
      <c r="X152" t="s">
        <v>4193</v>
      </c>
      <c r="Y152" t="s">
        <v>4201</v>
      </c>
      <c r="Z152" t="s">
        <v>4351</v>
      </c>
      <c r="AC152">
        <v>6</v>
      </c>
      <c r="AD152" t="s">
        <v>6772</v>
      </c>
      <c r="AF152">
        <v>13</v>
      </c>
      <c r="AG152">
        <v>1</v>
      </c>
      <c r="AH152">
        <v>0</v>
      </c>
      <c r="AI152">
        <v>17.87</v>
      </c>
      <c r="AL152" t="s">
        <v>6801</v>
      </c>
      <c r="AM152">
        <v>2232</v>
      </c>
    </row>
    <row r="153" spans="1:44">
      <c r="A153" s="1">
        <f>HYPERLINK("https://lsnyc.legalserver.org/matter/dynamic-profile/view/1906235","19-1906235")</f>
        <v>0</v>
      </c>
      <c r="B153" t="s">
        <v>75</v>
      </c>
      <c r="C153" t="s">
        <v>188</v>
      </c>
      <c r="E153" t="s">
        <v>389</v>
      </c>
      <c r="F153" t="s">
        <v>1390</v>
      </c>
      <c r="G153" t="s">
        <v>2234</v>
      </c>
      <c r="H153" t="s">
        <v>3193</v>
      </c>
      <c r="I153" t="s">
        <v>3493</v>
      </c>
      <c r="J153">
        <v>10455</v>
      </c>
      <c r="K153" t="s">
        <v>3522</v>
      </c>
      <c r="L153" t="s">
        <v>3525</v>
      </c>
      <c r="N153" t="s">
        <v>4110</v>
      </c>
      <c r="O153" t="s">
        <v>4137</v>
      </c>
      <c r="Q153" t="s">
        <v>4147</v>
      </c>
      <c r="R153" t="s">
        <v>3523</v>
      </c>
      <c r="T153" t="s">
        <v>4156</v>
      </c>
      <c r="V153" t="s">
        <v>4175</v>
      </c>
      <c r="W153">
        <v>0</v>
      </c>
      <c r="X153" t="s">
        <v>4194</v>
      </c>
      <c r="Y153" t="s">
        <v>4201</v>
      </c>
      <c r="Z153" t="s">
        <v>4352</v>
      </c>
      <c r="AB153" t="s">
        <v>5756</v>
      </c>
      <c r="AC153">
        <v>49</v>
      </c>
      <c r="AD153" t="s">
        <v>6772</v>
      </c>
      <c r="AE153" t="s">
        <v>6788</v>
      </c>
      <c r="AF153">
        <v>1</v>
      </c>
      <c r="AG153">
        <v>1</v>
      </c>
      <c r="AH153">
        <v>3</v>
      </c>
      <c r="AI153">
        <v>18.92</v>
      </c>
      <c r="AL153" t="s">
        <v>6801</v>
      </c>
      <c r="AM153">
        <v>4870.8</v>
      </c>
    </row>
    <row r="154" spans="1:44">
      <c r="A154" s="1">
        <f>HYPERLINK("https://lsnyc.legalserver.org/matter/dynamic-profile/view/1915481","19-1915481")</f>
        <v>0</v>
      </c>
      <c r="B154" t="s">
        <v>89</v>
      </c>
      <c r="C154" t="s">
        <v>258</v>
      </c>
      <c r="D154" t="s">
        <v>243</v>
      </c>
      <c r="E154" t="s">
        <v>423</v>
      </c>
      <c r="F154" t="s">
        <v>1391</v>
      </c>
      <c r="G154" t="s">
        <v>2293</v>
      </c>
      <c r="H154" t="s">
        <v>3194</v>
      </c>
      <c r="I154" t="s">
        <v>3499</v>
      </c>
      <c r="J154">
        <v>11427</v>
      </c>
      <c r="K154" t="s">
        <v>3522</v>
      </c>
      <c r="L154" t="s">
        <v>3525</v>
      </c>
      <c r="N154" t="s">
        <v>3554</v>
      </c>
      <c r="O154" t="s">
        <v>4132</v>
      </c>
      <c r="P154" t="s">
        <v>4139</v>
      </c>
      <c r="Q154" t="s">
        <v>4147</v>
      </c>
      <c r="R154" t="s">
        <v>3523</v>
      </c>
      <c r="T154" t="s">
        <v>4156</v>
      </c>
      <c r="V154" t="s">
        <v>258</v>
      </c>
      <c r="W154">
        <v>800</v>
      </c>
      <c r="X154" t="s">
        <v>4196</v>
      </c>
      <c r="Y154" t="s">
        <v>4198</v>
      </c>
      <c r="Z154" t="s">
        <v>4353</v>
      </c>
      <c r="AB154" t="s">
        <v>5757</v>
      </c>
      <c r="AC154">
        <v>0</v>
      </c>
      <c r="AD154" t="s">
        <v>6776</v>
      </c>
      <c r="AE154" t="s">
        <v>3526</v>
      </c>
      <c r="AF154">
        <v>4</v>
      </c>
      <c r="AG154">
        <v>1</v>
      </c>
      <c r="AH154">
        <v>0</v>
      </c>
      <c r="AI154">
        <v>19.05</v>
      </c>
      <c r="AL154" t="s">
        <v>6802</v>
      </c>
      <c r="AM154">
        <v>2379</v>
      </c>
    </row>
    <row r="155" spans="1:44">
      <c r="A155" s="1">
        <f>HYPERLINK("https://lsnyc.legalserver.org/matter/dynamic-profile/view/1914128","19-1914128")</f>
        <v>0</v>
      </c>
      <c r="B155" t="s">
        <v>66</v>
      </c>
      <c r="C155" t="s">
        <v>191</v>
      </c>
      <c r="E155" t="s">
        <v>514</v>
      </c>
      <c r="F155" t="s">
        <v>1083</v>
      </c>
      <c r="G155" t="s">
        <v>2294</v>
      </c>
      <c r="H155" t="s">
        <v>3195</v>
      </c>
      <c r="I155" t="s">
        <v>3490</v>
      </c>
      <c r="J155">
        <v>11203</v>
      </c>
      <c r="K155" t="s">
        <v>3522</v>
      </c>
      <c r="L155" t="s">
        <v>3525</v>
      </c>
      <c r="O155" t="s">
        <v>4134</v>
      </c>
      <c r="Q155" t="s">
        <v>4147</v>
      </c>
      <c r="R155" t="s">
        <v>3523</v>
      </c>
      <c r="T155" t="s">
        <v>4156</v>
      </c>
      <c r="V155" t="s">
        <v>192</v>
      </c>
      <c r="W155">
        <v>1690</v>
      </c>
      <c r="X155" t="s">
        <v>4193</v>
      </c>
      <c r="Z155" t="s">
        <v>4354</v>
      </c>
      <c r="AB155" t="s">
        <v>5758</v>
      </c>
      <c r="AC155">
        <v>0</v>
      </c>
      <c r="AD155" t="s">
        <v>6778</v>
      </c>
      <c r="AF155">
        <v>5</v>
      </c>
      <c r="AG155">
        <v>2</v>
      </c>
      <c r="AH155">
        <v>0</v>
      </c>
      <c r="AI155">
        <v>19.22</v>
      </c>
      <c r="AL155" t="s">
        <v>6801</v>
      </c>
      <c r="AM155">
        <v>3250</v>
      </c>
    </row>
    <row r="156" spans="1:44">
      <c r="A156" s="1">
        <f>HYPERLINK("https://lsnyc.legalserver.org/matter/dynamic-profile/view/1909761","19-1909761")</f>
        <v>0</v>
      </c>
      <c r="B156" t="s">
        <v>101</v>
      </c>
      <c r="C156" t="s">
        <v>227</v>
      </c>
      <c r="D156" t="s">
        <v>332</v>
      </c>
      <c r="E156" t="s">
        <v>515</v>
      </c>
      <c r="F156" t="s">
        <v>1392</v>
      </c>
      <c r="G156" t="s">
        <v>2295</v>
      </c>
      <c r="I156" t="s">
        <v>3493</v>
      </c>
      <c r="J156">
        <v>10460</v>
      </c>
      <c r="K156" t="s">
        <v>3522</v>
      </c>
      <c r="L156" t="s">
        <v>3525</v>
      </c>
      <c r="N156" t="s">
        <v>3554</v>
      </c>
      <c r="O156" t="s">
        <v>4132</v>
      </c>
      <c r="P156" t="s">
        <v>4139</v>
      </c>
      <c r="Q156" t="s">
        <v>4147</v>
      </c>
      <c r="R156" t="s">
        <v>3523</v>
      </c>
      <c r="T156" t="s">
        <v>4156</v>
      </c>
      <c r="V156" t="s">
        <v>177</v>
      </c>
      <c r="W156">
        <v>1124</v>
      </c>
      <c r="X156" t="s">
        <v>4194</v>
      </c>
      <c r="Y156" t="s">
        <v>4210</v>
      </c>
      <c r="Z156" t="s">
        <v>4355</v>
      </c>
      <c r="AB156" t="s">
        <v>5759</v>
      </c>
      <c r="AC156">
        <v>40</v>
      </c>
      <c r="AF156">
        <v>2</v>
      </c>
      <c r="AG156">
        <v>1</v>
      </c>
      <c r="AH156">
        <v>0</v>
      </c>
      <c r="AI156">
        <v>19.22</v>
      </c>
      <c r="AL156" t="s">
        <v>6801</v>
      </c>
      <c r="AM156">
        <v>2400</v>
      </c>
    </row>
    <row r="157" spans="1:44">
      <c r="A157" s="1">
        <f>HYPERLINK("https://lsnyc.legalserver.org/matter/dynamic-profile/view/1903865","19-1903865")</f>
        <v>0</v>
      </c>
      <c r="B157" t="s">
        <v>69</v>
      </c>
      <c r="C157" t="s">
        <v>259</v>
      </c>
      <c r="E157" t="s">
        <v>516</v>
      </c>
      <c r="F157" t="s">
        <v>1393</v>
      </c>
      <c r="G157" t="s">
        <v>2296</v>
      </c>
      <c r="H157" t="s">
        <v>3131</v>
      </c>
      <c r="I157" t="s">
        <v>3490</v>
      </c>
      <c r="J157">
        <v>11233</v>
      </c>
      <c r="K157" t="s">
        <v>3522</v>
      </c>
      <c r="L157" t="s">
        <v>3527</v>
      </c>
      <c r="M157" t="s">
        <v>3605</v>
      </c>
      <c r="N157" t="s">
        <v>4109</v>
      </c>
      <c r="O157" t="s">
        <v>4134</v>
      </c>
      <c r="Q157" t="s">
        <v>4147</v>
      </c>
      <c r="R157" t="s">
        <v>3523</v>
      </c>
      <c r="T157" t="s">
        <v>4156</v>
      </c>
      <c r="U157" t="s">
        <v>4169</v>
      </c>
      <c r="V157" t="s">
        <v>259</v>
      </c>
      <c r="W157">
        <v>1050</v>
      </c>
      <c r="X157" t="s">
        <v>4193</v>
      </c>
      <c r="Y157" t="s">
        <v>4205</v>
      </c>
      <c r="Z157" t="s">
        <v>4356</v>
      </c>
      <c r="AA157" t="s">
        <v>5510</v>
      </c>
      <c r="AB157" t="s">
        <v>5760</v>
      </c>
      <c r="AC157">
        <v>8</v>
      </c>
      <c r="AD157" t="s">
        <v>6772</v>
      </c>
      <c r="AE157" t="s">
        <v>3526</v>
      </c>
      <c r="AF157">
        <v>17</v>
      </c>
      <c r="AG157">
        <v>2</v>
      </c>
      <c r="AH157">
        <v>2</v>
      </c>
      <c r="AI157">
        <v>19.69</v>
      </c>
      <c r="AL157" t="s">
        <v>6801</v>
      </c>
      <c r="AM157">
        <v>5070</v>
      </c>
    </row>
    <row r="158" spans="1:44">
      <c r="A158" s="1">
        <f>HYPERLINK("https://lsnyc.legalserver.org/matter/dynamic-profile/view/1914309","19-1914309")</f>
        <v>0</v>
      </c>
      <c r="B158" t="s">
        <v>93</v>
      </c>
      <c r="C158" t="s">
        <v>245</v>
      </c>
      <c r="D158" t="s">
        <v>301</v>
      </c>
      <c r="E158" t="s">
        <v>517</v>
      </c>
      <c r="F158" t="s">
        <v>1394</v>
      </c>
      <c r="G158" t="s">
        <v>2297</v>
      </c>
      <c r="H158" t="s">
        <v>3196</v>
      </c>
      <c r="I158" t="s">
        <v>3495</v>
      </c>
      <c r="J158">
        <v>10034</v>
      </c>
      <c r="K158" t="s">
        <v>3522</v>
      </c>
      <c r="L158" t="s">
        <v>3525</v>
      </c>
      <c r="M158" t="s">
        <v>3606</v>
      </c>
      <c r="N158" t="s">
        <v>4107</v>
      </c>
      <c r="O158" t="s">
        <v>4132</v>
      </c>
      <c r="P158" t="s">
        <v>4139</v>
      </c>
      <c r="Q158" t="s">
        <v>4147</v>
      </c>
      <c r="R158" t="s">
        <v>3523</v>
      </c>
      <c r="T158" t="s">
        <v>4156</v>
      </c>
      <c r="V158" t="s">
        <v>301</v>
      </c>
      <c r="W158">
        <v>0</v>
      </c>
      <c r="X158" t="s">
        <v>4196</v>
      </c>
      <c r="Y158" t="s">
        <v>4201</v>
      </c>
      <c r="Z158" t="s">
        <v>4357</v>
      </c>
      <c r="AB158" t="s">
        <v>5761</v>
      </c>
      <c r="AC158">
        <v>100</v>
      </c>
      <c r="AD158" t="s">
        <v>6772</v>
      </c>
      <c r="AE158" t="s">
        <v>3526</v>
      </c>
      <c r="AF158">
        <v>26</v>
      </c>
      <c r="AG158">
        <v>1</v>
      </c>
      <c r="AH158">
        <v>0</v>
      </c>
      <c r="AI158">
        <v>19.89</v>
      </c>
      <c r="AL158" t="s">
        <v>6802</v>
      </c>
      <c r="AM158">
        <v>2484</v>
      </c>
    </row>
    <row r="159" spans="1:44">
      <c r="A159" s="1">
        <f>HYPERLINK("https://lsnyc.legalserver.org/matter/dynamic-profile/view/1913448","19-1913448")</f>
        <v>0</v>
      </c>
      <c r="B159" t="s">
        <v>102</v>
      </c>
      <c r="C159" t="s">
        <v>237</v>
      </c>
      <c r="D159" t="s">
        <v>195</v>
      </c>
      <c r="E159" t="s">
        <v>495</v>
      </c>
      <c r="F159" t="s">
        <v>987</v>
      </c>
      <c r="G159" t="s">
        <v>2298</v>
      </c>
      <c r="H159" t="s">
        <v>3197</v>
      </c>
      <c r="I159" t="s">
        <v>3493</v>
      </c>
      <c r="J159">
        <v>10452</v>
      </c>
      <c r="K159" t="s">
        <v>3522</v>
      </c>
      <c r="L159" t="s">
        <v>3527</v>
      </c>
      <c r="M159" t="s">
        <v>3607</v>
      </c>
      <c r="N159" t="s">
        <v>4109</v>
      </c>
      <c r="O159" t="s">
        <v>4135</v>
      </c>
      <c r="P159" t="s">
        <v>4142</v>
      </c>
      <c r="Q159" t="s">
        <v>4147</v>
      </c>
      <c r="R159" t="s">
        <v>3523</v>
      </c>
      <c r="T159" t="s">
        <v>4156</v>
      </c>
      <c r="U159" t="s">
        <v>4169</v>
      </c>
      <c r="V159" t="s">
        <v>237</v>
      </c>
      <c r="W159">
        <v>1270</v>
      </c>
      <c r="X159" t="s">
        <v>4194</v>
      </c>
      <c r="Y159" t="s">
        <v>4204</v>
      </c>
      <c r="Z159" t="s">
        <v>4358</v>
      </c>
      <c r="AA159" t="s">
        <v>5511</v>
      </c>
      <c r="AB159" t="s">
        <v>5762</v>
      </c>
      <c r="AC159">
        <v>40</v>
      </c>
      <c r="AD159" t="s">
        <v>5524</v>
      </c>
      <c r="AE159" t="s">
        <v>6787</v>
      </c>
      <c r="AF159">
        <v>6</v>
      </c>
      <c r="AG159">
        <v>1</v>
      </c>
      <c r="AH159">
        <v>1</v>
      </c>
      <c r="AI159">
        <v>20.58</v>
      </c>
      <c r="AL159" t="s">
        <v>6802</v>
      </c>
      <c r="AM159">
        <v>3480</v>
      </c>
    </row>
    <row r="160" spans="1:44">
      <c r="A160" s="1">
        <f>HYPERLINK("https://lsnyc.legalserver.org/matter/dynamic-profile/view/1905088","19-1905088")</f>
        <v>0</v>
      </c>
      <c r="B160" t="s">
        <v>103</v>
      </c>
      <c r="C160" t="s">
        <v>216</v>
      </c>
      <c r="E160" t="s">
        <v>495</v>
      </c>
      <c r="F160" t="s">
        <v>987</v>
      </c>
      <c r="G160" t="s">
        <v>2298</v>
      </c>
      <c r="H160" t="s">
        <v>3197</v>
      </c>
      <c r="I160" t="s">
        <v>3493</v>
      </c>
      <c r="J160">
        <v>10452</v>
      </c>
      <c r="K160" t="s">
        <v>3522</v>
      </c>
      <c r="L160" t="s">
        <v>3525</v>
      </c>
      <c r="O160" t="s">
        <v>4132</v>
      </c>
      <c r="Q160" t="s">
        <v>4147</v>
      </c>
      <c r="T160" t="s">
        <v>4156</v>
      </c>
      <c r="V160" t="s">
        <v>291</v>
      </c>
      <c r="W160">
        <v>1270</v>
      </c>
      <c r="X160" t="s">
        <v>4194</v>
      </c>
      <c r="Z160" t="s">
        <v>4358</v>
      </c>
      <c r="AB160" t="s">
        <v>5762</v>
      </c>
      <c r="AC160">
        <v>40</v>
      </c>
      <c r="AD160" t="s">
        <v>5524</v>
      </c>
      <c r="AE160" t="s">
        <v>6787</v>
      </c>
      <c r="AF160">
        <v>6</v>
      </c>
      <c r="AG160">
        <v>1</v>
      </c>
      <c r="AH160">
        <v>1</v>
      </c>
      <c r="AI160">
        <v>20.58</v>
      </c>
      <c r="AL160" t="s">
        <v>6802</v>
      </c>
      <c r="AM160">
        <v>3480</v>
      </c>
    </row>
    <row r="161" spans="1:44">
      <c r="A161" s="1">
        <f>HYPERLINK("https://lsnyc.legalserver.org/matter/dynamic-profile/view/1913332","19-1913332")</f>
        <v>0</v>
      </c>
      <c r="B161" t="s">
        <v>46</v>
      </c>
      <c r="C161" t="s">
        <v>192</v>
      </c>
      <c r="E161" t="s">
        <v>518</v>
      </c>
      <c r="F161" t="s">
        <v>1395</v>
      </c>
      <c r="G161" t="s">
        <v>2299</v>
      </c>
      <c r="H161" t="s">
        <v>3198</v>
      </c>
      <c r="I161" t="s">
        <v>3486</v>
      </c>
      <c r="J161">
        <v>11377</v>
      </c>
      <c r="K161" t="s">
        <v>3522</v>
      </c>
      <c r="L161" t="s">
        <v>3525</v>
      </c>
      <c r="M161" t="s">
        <v>3608</v>
      </c>
      <c r="N161" t="s">
        <v>4107</v>
      </c>
      <c r="O161" t="s">
        <v>4135</v>
      </c>
      <c r="Q161" t="s">
        <v>4147</v>
      </c>
      <c r="R161" t="s">
        <v>3523</v>
      </c>
      <c r="T161" t="s">
        <v>4156</v>
      </c>
      <c r="U161" t="s">
        <v>4168</v>
      </c>
      <c r="V161" t="s">
        <v>269</v>
      </c>
      <c r="W161">
        <v>600</v>
      </c>
      <c r="X161" t="s">
        <v>4192</v>
      </c>
      <c r="Y161" t="s">
        <v>4197</v>
      </c>
      <c r="Z161" t="s">
        <v>4359</v>
      </c>
      <c r="AB161" t="s">
        <v>5763</v>
      </c>
      <c r="AC161">
        <v>150</v>
      </c>
      <c r="AD161" t="s">
        <v>6771</v>
      </c>
      <c r="AE161" t="s">
        <v>3526</v>
      </c>
      <c r="AF161">
        <v>-1</v>
      </c>
      <c r="AG161">
        <v>1</v>
      </c>
      <c r="AH161">
        <v>0</v>
      </c>
      <c r="AI161">
        <v>20.66</v>
      </c>
      <c r="AL161" t="s">
        <v>6802</v>
      </c>
      <c r="AM161">
        <v>2580</v>
      </c>
    </row>
    <row r="162" spans="1:44">
      <c r="A162" s="1">
        <f>HYPERLINK("https://lsnyc.legalserver.org/matter/dynamic-profile/view/1916622","19-1916622")</f>
        <v>0</v>
      </c>
      <c r="B162" t="s">
        <v>57</v>
      </c>
      <c r="C162" t="s">
        <v>213</v>
      </c>
      <c r="E162" t="s">
        <v>519</v>
      </c>
      <c r="F162" t="s">
        <v>1396</v>
      </c>
      <c r="G162" t="s">
        <v>2300</v>
      </c>
      <c r="H162" t="s">
        <v>3199</v>
      </c>
      <c r="I162" t="s">
        <v>3490</v>
      </c>
      <c r="J162">
        <v>11233</v>
      </c>
      <c r="K162" t="s">
        <v>3522</v>
      </c>
      <c r="L162" t="s">
        <v>3525</v>
      </c>
      <c r="M162" t="s">
        <v>3526</v>
      </c>
      <c r="N162" t="s">
        <v>3554</v>
      </c>
      <c r="Q162" t="s">
        <v>4147</v>
      </c>
      <c r="R162" t="s">
        <v>3523</v>
      </c>
      <c r="T162" t="s">
        <v>4162</v>
      </c>
      <c r="V162" t="s">
        <v>297</v>
      </c>
      <c r="W162">
        <v>50</v>
      </c>
      <c r="X162" t="s">
        <v>4193</v>
      </c>
      <c r="Y162" t="s">
        <v>4206</v>
      </c>
      <c r="Z162" t="s">
        <v>4360</v>
      </c>
      <c r="AB162" t="s">
        <v>5764</v>
      </c>
      <c r="AC162">
        <v>12</v>
      </c>
      <c r="AD162" t="s">
        <v>6778</v>
      </c>
      <c r="AE162" t="s">
        <v>6789</v>
      </c>
      <c r="AF162">
        <v>18</v>
      </c>
      <c r="AG162">
        <v>1</v>
      </c>
      <c r="AH162">
        <v>2</v>
      </c>
      <c r="AI162">
        <v>20.66</v>
      </c>
      <c r="AL162" t="s">
        <v>6801</v>
      </c>
      <c r="AM162">
        <v>4407</v>
      </c>
    </row>
    <row r="163" spans="1:44">
      <c r="A163" s="1">
        <f>HYPERLINK("https://lsnyc.legalserver.org/matter/dynamic-profile/view/1915402","19-1915402")</f>
        <v>0</v>
      </c>
      <c r="B163" t="s">
        <v>90</v>
      </c>
      <c r="C163" t="s">
        <v>260</v>
      </c>
      <c r="D163" t="s">
        <v>332</v>
      </c>
      <c r="E163" t="s">
        <v>520</v>
      </c>
      <c r="F163" t="s">
        <v>1397</v>
      </c>
      <c r="G163" t="s">
        <v>2301</v>
      </c>
      <c r="H163" t="s">
        <v>3200</v>
      </c>
      <c r="I163" t="s">
        <v>3495</v>
      </c>
      <c r="J163">
        <v>10040</v>
      </c>
      <c r="K163" t="s">
        <v>3522</v>
      </c>
      <c r="L163" t="s">
        <v>3525</v>
      </c>
      <c r="O163" t="s">
        <v>4132</v>
      </c>
      <c r="P163" t="s">
        <v>4139</v>
      </c>
      <c r="Q163" t="s">
        <v>4147</v>
      </c>
      <c r="R163" t="s">
        <v>3523</v>
      </c>
      <c r="T163" t="s">
        <v>4156</v>
      </c>
      <c r="V163" t="s">
        <v>260</v>
      </c>
      <c r="W163">
        <v>833.99</v>
      </c>
      <c r="X163" t="s">
        <v>4196</v>
      </c>
      <c r="Y163" t="s">
        <v>4201</v>
      </c>
      <c r="Z163" t="s">
        <v>4361</v>
      </c>
      <c r="AB163" t="s">
        <v>5765</v>
      </c>
      <c r="AC163">
        <v>43</v>
      </c>
      <c r="AD163" t="s">
        <v>6780</v>
      </c>
      <c r="AE163" t="s">
        <v>3526</v>
      </c>
      <c r="AF163">
        <v>33</v>
      </c>
      <c r="AG163">
        <v>1</v>
      </c>
      <c r="AH163">
        <v>0</v>
      </c>
      <c r="AI163">
        <v>20.66</v>
      </c>
      <c r="AL163" t="s">
        <v>6802</v>
      </c>
      <c r="AM163">
        <v>2580</v>
      </c>
    </row>
    <row r="164" spans="1:44">
      <c r="A164" s="1">
        <f>HYPERLINK("https://lsnyc.legalserver.org/matter/dynamic-profile/view/1907074","19-1907074")</f>
        <v>0</v>
      </c>
      <c r="B164" t="s">
        <v>90</v>
      </c>
      <c r="C164" t="s">
        <v>244</v>
      </c>
      <c r="E164" t="s">
        <v>521</v>
      </c>
      <c r="F164" t="s">
        <v>1398</v>
      </c>
      <c r="G164" t="s">
        <v>2302</v>
      </c>
      <c r="H164" t="s">
        <v>3201</v>
      </c>
      <c r="I164" t="s">
        <v>3495</v>
      </c>
      <c r="J164">
        <v>10034</v>
      </c>
      <c r="K164" t="s">
        <v>3522</v>
      </c>
      <c r="L164" t="s">
        <v>3525</v>
      </c>
      <c r="N164" t="s">
        <v>4110</v>
      </c>
      <c r="O164" t="s">
        <v>4137</v>
      </c>
      <c r="Q164" t="s">
        <v>4147</v>
      </c>
      <c r="R164" t="s">
        <v>3523</v>
      </c>
      <c r="T164" t="s">
        <v>4156</v>
      </c>
      <c r="V164" t="s">
        <v>244</v>
      </c>
      <c r="W164">
        <v>972.72</v>
      </c>
      <c r="X164" t="s">
        <v>4196</v>
      </c>
      <c r="Y164" t="s">
        <v>4201</v>
      </c>
      <c r="Z164" t="s">
        <v>4362</v>
      </c>
      <c r="AB164" t="s">
        <v>5766</v>
      </c>
      <c r="AC164">
        <v>121</v>
      </c>
      <c r="AD164" t="s">
        <v>6772</v>
      </c>
      <c r="AE164" t="s">
        <v>3526</v>
      </c>
      <c r="AF164">
        <v>32</v>
      </c>
      <c r="AG164">
        <v>1</v>
      </c>
      <c r="AH164">
        <v>0</v>
      </c>
      <c r="AI164">
        <v>20.66</v>
      </c>
      <c r="AL164" t="s">
        <v>6802</v>
      </c>
      <c r="AM164">
        <v>2580</v>
      </c>
    </row>
    <row r="165" spans="1:44">
      <c r="A165" s="1">
        <f>HYPERLINK("https://lsnyc.legalserver.org/matter/dynamic-profile/view/1907072","19-1907072")</f>
        <v>0</v>
      </c>
      <c r="B165" t="s">
        <v>90</v>
      </c>
      <c r="C165" t="s">
        <v>244</v>
      </c>
      <c r="E165" t="s">
        <v>521</v>
      </c>
      <c r="F165" t="s">
        <v>1398</v>
      </c>
      <c r="G165" t="s">
        <v>2302</v>
      </c>
      <c r="H165" t="s">
        <v>3201</v>
      </c>
      <c r="I165" t="s">
        <v>3495</v>
      </c>
      <c r="J165">
        <v>10034</v>
      </c>
      <c r="K165" t="s">
        <v>3522</v>
      </c>
      <c r="L165" t="s">
        <v>3525</v>
      </c>
      <c r="N165" t="s">
        <v>4113</v>
      </c>
      <c r="O165" t="s">
        <v>4137</v>
      </c>
      <c r="Q165" t="s">
        <v>4147</v>
      </c>
      <c r="R165" t="s">
        <v>3523</v>
      </c>
      <c r="T165" t="s">
        <v>4156</v>
      </c>
      <c r="V165" t="s">
        <v>244</v>
      </c>
      <c r="W165">
        <v>972.72</v>
      </c>
      <c r="X165" t="s">
        <v>4196</v>
      </c>
      <c r="Y165" t="s">
        <v>4201</v>
      </c>
      <c r="Z165" t="s">
        <v>4362</v>
      </c>
      <c r="AB165" t="s">
        <v>5766</v>
      </c>
      <c r="AC165">
        <v>121</v>
      </c>
      <c r="AD165" t="s">
        <v>6772</v>
      </c>
      <c r="AE165" t="s">
        <v>3526</v>
      </c>
      <c r="AF165">
        <v>32</v>
      </c>
      <c r="AG165">
        <v>1</v>
      </c>
      <c r="AH165">
        <v>0</v>
      </c>
      <c r="AI165">
        <v>20.66</v>
      </c>
      <c r="AL165" t="s">
        <v>6802</v>
      </c>
      <c r="AM165">
        <v>2580</v>
      </c>
    </row>
    <row r="166" spans="1:44">
      <c r="A166" s="1">
        <f>HYPERLINK("https://lsnyc.legalserver.org/matter/dynamic-profile/view/1911974","19-1911974")</f>
        <v>0</v>
      </c>
      <c r="B166" t="s">
        <v>93</v>
      </c>
      <c r="C166" t="s">
        <v>251</v>
      </c>
      <c r="D166" t="s">
        <v>289</v>
      </c>
      <c r="E166" t="s">
        <v>522</v>
      </c>
      <c r="F166" t="s">
        <v>1268</v>
      </c>
      <c r="G166" t="s">
        <v>2303</v>
      </c>
      <c r="H166" t="s">
        <v>3202</v>
      </c>
      <c r="I166" t="s">
        <v>3495</v>
      </c>
      <c r="J166">
        <v>10033</v>
      </c>
      <c r="K166" t="s">
        <v>3522</v>
      </c>
      <c r="L166" t="s">
        <v>3525</v>
      </c>
      <c r="O166" t="s">
        <v>4132</v>
      </c>
      <c r="P166" t="s">
        <v>4139</v>
      </c>
      <c r="Q166" t="s">
        <v>4147</v>
      </c>
      <c r="R166" t="s">
        <v>3523</v>
      </c>
      <c r="T166" t="s">
        <v>4156</v>
      </c>
      <c r="V166" t="s">
        <v>251</v>
      </c>
      <c r="W166">
        <v>215</v>
      </c>
      <c r="X166" t="s">
        <v>4196</v>
      </c>
      <c r="Y166" t="s">
        <v>4205</v>
      </c>
      <c r="Z166" t="s">
        <v>4363</v>
      </c>
      <c r="AB166" t="s">
        <v>5767</v>
      </c>
      <c r="AC166">
        <v>57</v>
      </c>
      <c r="AD166" t="s">
        <v>6772</v>
      </c>
      <c r="AE166" t="s">
        <v>6786</v>
      </c>
      <c r="AF166">
        <v>8</v>
      </c>
      <c r="AG166">
        <v>1</v>
      </c>
      <c r="AH166">
        <v>0</v>
      </c>
      <c r="AI166">
        <v>20.66</v>
      </c>
      <c r="AL166" t="s">
        <v>6801</v>
      </c>
      <c r="AM166">
        <v>2580</v>
      </c>
    </row>
    <row r="167" spans="1:44">
      <c r="A167" s="1">
        <f>HYPERLINK("https://lsnyc.legalserver.org/matter/dynamic-profile/view/1916866","19-1916866")</f>
        <v>0</v>
      </c>
      <c r="B167" t="s">
        <v>72</v>
      </c>
      <c r="C167" t="s">
        <v>189</v>
      </c>
      <c r="E167" t="s">
        <v>523</v>
      </c>
      <c r="F167" t="s">
        <v>1399</v>
      </c>
      <c r="G167" t="s">
        <v>2304</v>
      </c>
      <c r="H167" t="s">
        <v>3157</v>
      </c>
      <c r="I167" t="s">
        <v>3490</v>
      </c>
      <c r="J167">
        <v>11238</v>
      </c>
      <c r="K167" t="s">
        <v>3522</v>
      </c>
      <c r="L167" t="s">
        <v>3525</v>
      </c>
      <c r="M167" t="s">
        <v>3526</v>
      </c>
      <c r="N167" t="s">
        <v>4110</v>
      </c>
      <c r="O167" t="s">
        <v>4137</v>
      </c>
      <c r="Q167" t="s">
        <v>4147</v>
      </c>
      <c r="R167" t="s">
        <v>3522</v>
      </c>
      <c r="T167" t="s">
        <v>4156</v>
      </c>
      <c r="V167" t="s">
        <v>260</v>
      </c>
      <c r="W167">
        <v>1200</v>
      </c>
      <c r="X167" t="s">
        <v>4193</v>
      </c>
      <c r="Y167" t="s">
        <v>4198</v>
      </c>
      <c r="Z167" t="s">
        <v>4364</v>
      </c>
      <c r="AA167">
        <v>3695246001</v>
      </c>
      <c r="AC167">
        <v>16</v>
      </c>
      <c r="AD167" t="s">
        <v>6772</v>
      </c>
      <c r="AE167" t="s">
        <v>6788</v>
      </c>
      <c r="AF167">
        <v>-1</v>
      </c>
      <c r="AG167">
        <v>1</v>
      </c>
      <c r="AH167">
        <v>1</v>
      </c>
      <c r="AI167">
        <v>20.69</v>
      </c>
      <c r="AL167" t="s">
        <v>6801</v>
      </c>
      <c r="AM167">
        <v>3498</v>
      </c>
      <c r="AN167" t="s">
        <v>6828</v>
      </c>
    </row>
    <row r="168" spans="1:44">
      <c r="A168" s="1">
        <f>HYPERLINK("https://lsnyc.legalserver.org/matter/dynamic-profile/view/1916868","19-1916868")</f>
        <v>0</v>
      </c>
      <c r="B168" t="s">
        <v>72</v>
      </c>
      <c r="C168" t="s">
        <v>189</v>
      </c>
      <c r="E168" t="s">
        <v>523</v>
      </c>
      <c r="F168" t="s">
        <v>1399</v>
      </c>
      <c r="G168" t="s">
        <v>2304</v>
      </c>
      <c r="H168" t="s">
        <v>3157</v>
      </c>
      <c r="I168" t="s">
        <v>3490</v>
      </c>
      <c r="J168">
        <v>11238</v>
      </c>
      <c r="K168" t="s">
        <v>3522</v>
      </c>
      <c r="L168" t="s">
        <v>3525</v>
      </c>
      <c r="M168" t="s">
        <v>3609</v>
      </c>
      <c r="N168" t="s">
        <v>4108</v>
      </c>
      <c r="O168" t="s">
        <v>4134</v>
      </c>
      <c r="Q168" t="s">
        <v>4147</v>
      </c>
      <c r="R168" t="s">
        <v>3522</v>
      </c>
      <c r="T168" t="s">
        <v>4156</v>
      </c>
      <c r="V168" t="s">
        <v>260</v>
      </c>
      <c r="W168">
        <v>1200</v>
      </c>
      <c r="X168" t="s">
        <v>4193</v>
      </c>
      <c r="Y168" t="s">
        <v>4198</v>
      </c>
      <c r="Z168" t="s">
        <v>4364</v>
      </c>
      <c r="AA168">
        <v>3695246001</v>
      </c>
      <c r="AC168">
        <v>16</v>
      </c>
      <c r="AD168" t="s">
        <v>6772</v>
      </c>
      <c r="AE168" t="s">
        <v>6788</v>
      </c>
      <c r="AF168">
        <v>-1</v>
      </c>
      <c r="AG168">
        <v>1</v>
      </c>
      <c r="AH168">
        <v>1</v>
      </c>
      <c r="AI168">
        <v>20.69</v>
      </c>
      <c r="AL168" t="s">
        <v>6801</v>
      </c>
      <c r="AM168">
        <v>3498</v>
      </c>
      <c r="AN168" t="s">
        <v>6828</v>
      </c>
    </row>
    <row r="169" spans="1:44">
      <c r="A169" s="1">
        <f>HYPERLINK("https://lsnyc.legalserver.org/matter/dynamic-profile/view/1916863","19-1916863")</f>
        <v>0</v>
      </c>
      <c r="B169" t="s">
        <v>72</v>
      </c>
      <c r="C169" t="s">
        <v>189</v>
      </c>
      <c r="E169" t="s">
        <v>523</v>
      </c>
      <c r="F169" t="s">
        <v>1399</v>
      </c>
      <c r="G169" t="s">
        <v>2304</v>
      </c>
      <c r="H169" t="s">
        <v>3157</v>
      </c>
      <c r="I169" t="s">
        <v>3490</v>
      </c>
      <c r="J169">
        <v>11238</v>
      </c>
      <c r="K169" t="s">
        <v>3522</v>
      </c>
      <c r="L169" t="s">
        <v>3525</v>
      </c>
      <c r="M169" t="s">
        <v>3526</v>
      </c>
      <c r="N169" t="s">
        <v>3554</v>
      </c>
      <c r="O169" t="s">
        <v>4135</v>
      </c>
      <c r="Q169" t="s">
        <v>4147</v>
      </c>
      <c r="R169" t="s">
        <v>3522</v>
      </c>
      <c r="T169" t="s">
        <v>4156</v>
      </c>
      <c r="V169" t="s">
        <v>260</v>
      </c>
      <c r="W169">
        <v>1200</v>
      </c>
      <c r="X169" t="s">
        <v>4193</v>
      </c>
      <c r="Y169" t="s">
        <v>4198</v>
      </c>
      <c r="Z169" t="s">
        <v>4364</v>
      </c>
      <c r="AA169">
        <v>3695246001</v>
      </c>
      <c r="AC169">
        <v>16</v>
      </c>
      <c r="AD169" t="s">
        <v>6772</v>
      </c>
      <c r="AE169" t="s">
        <v>6788</v>
      </c>
      <c r="AF169">
        <v>-1</v>
      </c>
      <c r="AG169">
        <v>1</v>
      </c>
      <c r="AH169">
        <v>1</v>
      </c>
      <c r="AI169">
        <v>20.69</v>
      </c>
      <c r="AL169" t="s">
        <v>6801</v>
      </c>
      <c r="AM169">
        <v>3498</v>
      </c>
      <c r="AN169" t="s">
        <v>6828</v>
      </c>
    </row>
    <row r="170" spans="1:44">
      <c r="A170" s="1">
        <f>HYPERLINK("https://lsnyc.legalserver.org/matter/dynamic-profile/view/1906227","19-1906227")</f>
        <v>0</v>
      </c>
      <c r="B170" t="s">
        <v>104</v>
      </c>
      <c r="C170" t="s">
        <v>188</v>
      </c>
      <c r="E170" t="s">
        <v>524</v>
      </c>
      <c r="F170" t="s">
        <v>1400</v>
      </c>
      <c r="G170" t="s">
        <v>2305</v>
      </c>
      <c r="H170" t="s">
        <v>3162</v>
      </c>
      <c r="I170" t="s">
        <v>3493</v>
      </c>
      <c r="J170">
        <v>10451</v>
      </c>
      <c r="K170" t="s">
        <v>3524</v>
      </c>
      <c r="L170" t="s">
        <v>3527</v>
      </c>
      <c r="N170" t="s">
        <v>4108</v>
      </c>
      <c r="Q170" t="s">
        <v>4147</v>
      </c>
      <c r="T170" t="s">
        <v>4156</v>
      </c>
      <c r="V170" t="s">
        <v>237</v>
      </c>
      <c r="W170">
        <v>1325</v>
      </c>
      <c r="X170" t="s">
        <v>4194</v>
      </c>
      <c r="Y170" t="s">
        <v>4206</v>
      </c>
      <c r="Z170" t="s">
        <v>4365</v>
      </c>
      <c r="AA170" t="s">
        <v>5512</v>
      </c>
      <c r="AB170" t="s">
        <v>5768</v>
      </c>
      <c r="AC170">
        <v>0</v>
      </c>
      <c r="AD170" t="s">
        <v>6780</v>
      </c>
      <c r="AF170">
        <v>5</v>
      </c>
      <c r="AG170">
        <v>1</v>
      </c>
      <c r="AH170">
        <v>3</v>
      </c>
      <c r="AI170">
        <v>20.97</v>
      </c>
      <c r="AL170" t="s">
        <v>6801</v>
      </c>
      <c r="AM170">
        <v>5400</v>
      </c>
    </row>
    <row r="171" spans="1:44">
      <c r="A171" s="1">
        <f>HYPERLINK("https://lsnyc.legalserver.org/matter/dynamic-profile/view/1905654","19-1905654")</f>
        <v>0</v>
      </c>
      <c r="B171" t="s">
        <v>105</v>
      </c>
      <c r="C171" t="s">
        <v>198</v>
      </c>
      <c r="D171" t="s">
        <v>258</v>
      </c>
      <c r="E171" t="s">
        <v>525</v>
      </c>
      <c r="F171" t="s">
        <v>1401</v>
      </c>
      <c r="G171" t="s">
        <v>2306</v>
      </c>
      <c r="H171" t="s">
        <v>3151</v>
      </c>
      <c r="I171" t="s">
        <v>3494</v>
      </c>
      <c r="J171">
        <v>10301</v>
      </c>
      <c r="K171" t="s">
        <v>3522</v>
      </c>
      <c r="L171" t="s">
        <v>3525</v>
      </c>
      <c r="M171" t="s">
        <v>3610</v>
      </c>
      <c r="N171" t="s">
        <v>4107</v>
      </c>
      <c r="O171" t="s">
        <v>4134</v>
      </c>
      <c r="P171" t="s">
        <v>4143</v>
      </c>
      <c r="Q171" t="s">
        <v>4147</v>
      </c>
      <c r="R171" t="s">
        <v>3523</v>
      </c>
      <c r="T171" t="s">
        <v>4156</v>
      </c>
      <c r="U171" t="s">
        <v>4169</v>
      </c>
      <c r="V171" t="s">
        <v>198</v>
      </c>
      <c r="W171">
        <v>1258</v>
      </c>
      <c r="X171" t="s">
        <v>4195</v>
      </c>
      <c r="Y171" t="s">
        <v>4203</v>
      </c>
      <c r="Z171" t="s">
        <v>4366</v>
      </c>
      <c r="AB171" t="s">
        <v>5769</v>
      </c>
      <c r="AC171">
        <v>6</v>
      </c>
      <c r="AD171" t="s">
        <v>6772</v>
      </c>
      <c r="AE171" t="s">
        <v>6787</v>
      </c>
      <c r="AF171">
        <v>2</v>
      </c>
      <c r="AG171">
        <v>1</v>
      </c>
      <c r="AH171">
        <v>2</v>
      </c>
      <c r="AI171">
        <v>21.88</v>
      </c>
      <c r="AL171" t="s">
        <v>6801</v>
      </c>
      <c r="AM171">
        <v>4668</v>
      </c>
      <c r="AP171" t="s">
        <v>4200</v>
      </c>
      <c r="AQ171" t="s">
        <v>6945</v>
      </c>
      <c r="AR171" t="s">
        <v>6950</v>
      </c>
    </row>
    <row r="172" spans="1:44">
      <c r="A172" s="1">
        <f>HYPERLINK("https://lsnyc.legalserver.org/matter/dynamic-profile/view/1911683","19-1911683")</f>
        <v>0</v>
      </c>
      <c r="B172" t="s">
        <v>55</v>
      </c>
      <c r="C172" t="s">
        <v>194</v>
      </c>
      <c r="E172" t="s">
        <v>526</v>
      </c>
      <c r="F172" t="s">
        <v>1402</v>
      </c>
      <c r="G172" t="s">
        <v>2307</v>
      </c>
      <c r="H172" t="s">
        <v>3146</v>
      </c>
      <c r="I172" t="s">
        <v>3490</v>
      </c>
      <c r="J172">
        <v>11236</v>
      </c>
      <c r="K172" t="s">
        <v>3522</v>
      </c>
      <c r="L172" t="s">
        <v>3525</v>
      </c>
      <c r="M172" t="s">
        <v>3611</v>
      </c>
      <c r="N172" t="s">
        <v>4107</v>
      </c>
      <c r="O172" t="s">
        <v>4134</v>
      </c>
      <c r="Q172" t="s">
        <v>4147</v>
      </c>
      <c r="R172" t="s">
        <v>3523</v>
      </c>
      <c r="T172" t="s">
        <v>4156</v>
      </c>
      <c r="U172" t="s">
        <v>4167</v>
      </c>
      <c r="V172" t="s">
        <v>194</v>
      </c>
      <c r="W172">
        <v>1600</v>
      </c>
      <c r="X172" t="s">
        <v>4193</v>
      </c>
      <c r="Y172" t="s">
        <v>4212</v>
      </c>
      <c r="Z172" t="s">
        <v>4367</v>
      </c>
      <c r="AB172" t="s">
        <v>5770</v>
      </c>
      <c r="AC172">
        <v>3</v>
      </c>
      <c r="AD172" t="s">
        <v>6771</v>
      </c>
      <c r="AE172" t="s">
        <v>6790</v>
      </c>
      <c r="AF172">
        <v>1</v>
      </c>
      <c r="AG172">
        <v>1</v>
      </c>
      <c r="AH172">
        <v>0</v>
      </c>
      <c r="AI172">
        <v>22.1</v>
      </c>
      <c r="AL172" t="s">
        <v>6801</v>
      </c>
      <c r="AM172">
        <v>2760</v>
      </c>
    </row>
    <row r="173" spans="1:44">
      <c r="A173" s="1">
        <f>HYPERLINK("https://lsnyc.legalserver.org/matter/dynamic-profile/view/1904512","19-1904512")</f>
        <v>0</v>
      </c>
      <c r="B173" t="s">
        <v>69</v>
      </c>
      <c r="C173" t="s">
        <v>261</v>
      </c>
      <c r="D173" t="s">
        <v>213</v>
      </c>
      <c r="E173" t="s">
        <v>527</v>
      </c>
      <c r="F173" t="s">
        <v>1403</v>
      </c>
      <c r="G173" t="s">
        <v>2308</v>
      </c>
      <c r="H173">
        <v>9</v>
      </c>
      <c r="I173" t="s">
        <v>3490</v>
      </c>
      <c r="J173">
        <v>11212</v>
      </c>
      <c r="K173" t="s">
        <v>3522</v>
      </c>
      <c r="L173" t="s">
        <v>3525</v>
      </c>
      <c r="M173" t="s">
        <v>3612</v>
      </c>
      <c r="N173" t="s">
        <v>4109</v>
      </c>
      <c r="O173" t="s">
        <v>4134</v>
      </c>
      <c r="P173" t="s">
        <v>4141</v>
      </c>
      <c r="Q173" t="s">
        <v>4147</v>
      </c>
      <c r="R173" t="s">
        <v>3523</v>
      </c>
      <c r="T173" t="s">
        <v>4156</v>
      </c>
      <c r="U173" t="s">
        <v>4168</v>
      </c>
      <c r="V173" t="s">
        <v>241</v>
      </c>
      <c r="W173">
        <v>1300</v>
      </c>
      <c r="X173" t="s">
        <v>4193</v>
      </c>
      <c r="Y173" t="s">
        <v>4212</v>
      </c>
      <c r="Z173" t="s">
        <v>4368</v>
      </c>
      <c r="AA173" t="s">
        <v>5513</v>
      </c>
      <c r="AB173" t="s">
        <v>5771</v>
      </c>
      <c r="AC173">
        <v>23</v>
      </c>
      <c r="AD173" t="s">
        <v>6772</v>
      </c>
      <c r="AE173" t="s">
        <v>3526</v>
      </c>
      <c r="AF173">
        <v>1</v>
      </c>
      <c r="AG173">
        <v>1</v>
      </c>
      <c r="AH173">
        <v>2</v>
      </c>
      <c r="AI173">
        <v>22.5</v>
      </c>
      <c r="AL173" t="s">
        <v>6801</v>
      </c>
      <c r="AM173">
        <v>4800</v>
      </c>
    </row>
    <row r="174" spans="1:44">
      <c r="A174" s="1">
        <f>HYPERLINK("https://lsnyc.legalserver.org/matter/dynamic-profile/view/1908092","19-1908092")</f>
        <v>0</v>
      </c>
      <c r="B174" t="s">
        <v>106</v>
      </c>
      <c r="C174" t="s">
        <v>262</v>
      </c>
      <c r="D174" t="s">
        <v>318</v>
      </c>
      <c r="E174" t="s">
        <v>528</v>
      </c>
      <c r="F174" t="s">
        <v>1404</v>
      </c>
      <c r="G174" t="s">
        <v>2309</v>
      </c>
      <c r="H174" t="s">
        <v>3203</v>
      </c>
      <c r="I174" t="s">
        <v>3493</v>
      </c>
      <c r="J174">
        <v>10453</v>
      </c>
      <c r="K174" t="s">
        <v>3522</v>
      </c>
      <c r="L174" t="s">
        <v>3525</v>
      </c>
      <c r="M174" t="s">
        <v>3613</v>
      </c>
      <c r="N174" t="s">
        <v>4109</v>
      </c>
      <c r="O174" t="s">
        <v>4132</v>
      </c>
      <c r="P174" t="s">
        <v>4139</v>
      </c>
      <c r="Q174" t="s">
        <v>4147</v>
      </c>
      <c r="T174" t="s">
        <v>4156</v>
      </c>
      <c r="V174" t="s">
        <v>198</v>
      </c>
      <c r="W174">
        <v>944</v>
      </c>
      <c r="X174" t="s">
        <v>4194</v>
      </c>
      <c r="Y174" t="s">
        <v>4210</v>
      </c>
      <c r="Z174" t="s">
        <v>4369</v>
      </c>
      <c r="AB174" t="s">
        <v>5772</v>
      </c>
      <c r="AC174">
        <v>40</v>
      </c>
      <c r="AD174" t="s">
        <v>6778</v>
      </c>
      <c r="AF174">
        <v>17</v>
      </c>
      <c r="AG174">
        <v>1</v>
      </c>
      <c r="AH174">
        <v>0</v>
      </c>
      <c r="AI174">
        <v>23.06</v>
      </c>
      <c r="AL174" t="s">
        <v>6802</v>
      </c>
      <c r="AM174">
        <v>2880</v>
      </c>
    </row>
    <row r="175" spans="1:44">
      <c r="A175" s="1">
        <f>HYPERLINK("https://lsnyc.legalserver.org/matter/dynamic-profile/view/1909361","19-1909361")</f>
        <v>0</v>
      </c>
      <c r="B175" t="s">
        <v>48</v>
      </c>
      <c r="C175" t="s">
        <v>197</v>
      </c>
      <c r="D175" t="s">
        <v>360</v>
      </c>
      <c r="E175" t="s">
        <v>529</v>
      </c>
      <c r="F175" t="s">
        <v>1405</v>
      </c>
      <c r="G175" t="s">
        <v>2310</v>
      </c>
      <c r="H175" t="s">
        <v>3204</v>
      </c>
      <c r="I175" t="s">
        <v>3484</v>
      </c>
      <c r="J175">
        <v>11412</v>
      </c>
      <c r="K175" t="s">
        <v>3522</v>
      </c>
      <c r="L175" t="s">
        <v>3525</v>
      </c>
      <c r="M175" t="s">
        <v>3614</v>
      </c>
      <c r="N175" t="s">
        <v>4107</v>
      </c>
      <c r="O175" t="s">
        <v>4132</v>
      </c>
      <c r="P175" t="s">
        <v>4139</v>
      </c>
      <c r="Q175" t="s">
        <v>4147</v>
      </c>
      <c r="R175" t="s">
        <v>3523</v>
      </c>
      <c r="T175" t="s">
        <v>4156</v>
      </c>
      <c r="U175" t="s">
        <v>4167</v>
      </c>
      <c r="V175" t="s">
        <v>360</v>
      </c>
      <c r="W175">
        <v>1515</v>
      </c>
      <c r="X175" t="s">
        <v>4192</v>
      </c>
      <c r="Y175" t="s">
        <v>4197</v>
      </c>
      <c r="Z175" t="s">
        <v>4370</v>
      </c>
      <c r="AA175" t="s">
        <v>5514</v>
      </c>
      <c r="AB175" t="s">
        <v>5773</v>
      </c>
      <c r="AC175">
        <v>2</v>
      </c>
      <c r="AE175" t="s">
        <v>6787</v>
      </c>
      <c r="AF175">
        <v>1</v>
      </c>
      <c r="AG175">
        <v>1</v>
      </c>
      <c r="AH175">
        <v>3</v>
      </c>
      <c r="AI175">
        <v>23.3</v>
      </c>
      <c r="AL175" t="s">
        <v>6801</v>
      </c>
      <c r="AM175">
        <v>6000</v>
      </c>
    </row>
    <row r="176" spans="1:44">
      <c r="A176" s="1">
        <f>HYPERLINK("https://lsnyc.legalserver.org/matter/dynamic-profile/view/1912767","19-1912767")</f>
        <v>0</v>
      </c>
      <c r="B176" t="s">
        <v>94</v>
      </c>
      <c r="C176" t="s">
        <v>253</v>
      </c>
      <c r="E176" t="s">
        <v>530</v>
      </c>
      <c r="F176" t="s">
        <v>1379</v>
      </c>
      <c r="G176" t="s">
        <v>2311</v>
      </c>
      <c r="H176" t="s">
        <v>3157</v>
      </c>
      <c r="I176" t="s">
        <v>3495</v>
      </c>
      <c r="J176">
        <v>10035</v>
      </c>
      <c r="K176" t="s">
        <v>3522</v>
      </c>
      <c r="L176" t="s">
        <v>3525</v>
      </c>
      <c r="N176" t="s">
        <v>3554</v>
      </c>
      <c r="O176" t="s">
        <v>4132</v>
      </c>
      <c r="Q176" t="s">
        <v>4147</v>
      </c>
      <c r="R176" t="s">
        <v>3523</v>
      </c>
      <c r="T176" t="s">
        <v>4156</v>
      </c>
      <c r="U176" t="s">
        <v>4168</v>
      </c>
      <c r="V176" t="s">
        <v>304</v>
      </c>
      <c r="W176">
        <v>310</v>
      </c>
      <c r="X176" t="s">
        <v>4196</v>
      </c>
      <c r="Y176" t="s">
        <v>4198</v>
      </c>
      <c r="Z176" t="s">
        <v>4371</v>
      </c>
      <c r="AB176" t="s">
        <v>5774</v>
      </c>
      <c r="AC176">
        <v>0</v>
      </c>
      <c r="AD176" t="s">
        <v>5524</v>
      </c>
      <c r="AE176" t="s">
        <v>3526</v>
      </c>
      <c r="AF176">
        <v>1</v>
      </c>
      <c r="AG176">
        <v>1</v>
      </c>
      <c r="AH176">
        <v>3</v>
      </c>
      <c r="AI176">
        <v>23.3</v>
      </c>
      <c r="AL176" t="s">
        <v>6801</v>
      </c>
      <c r="AM176">
        <v>6000</v>
      </c>
    </row>
    <row r="177" spans="1:44">
      <c r="A177" s="1">
        <f>HYPERLINK("https://lsnyc.legalserver.org/matter/dynamic-profile/view/1914014","19-1914014")</f>
        <v>0</v>
      </c>
      <c r="B177" t="s">
        <v>107</v>
      </c>
      <c r="C177" t="s">
        <v>263</v>
      </c>
      <c r="E177" t="s">
        <v>531</v>
      </c>
      <c r="F177" t="s">
        <v>1406</v>
      </c>
      <c r="G177" t="s">
        <v>2312</v>
      </c>
      <c r="I177" t="s">
        <v>3494</v>
      </c>
      <c r="J177">
        <v>10304</v>
      </c>
      <c r="K177" t="s">
        <v>3522</v>
      </c>
      <c r="L177" t="s">
        <v>3525</v>
      </c>
      <c r="M177" t="s">
        <v>3529</v>
      </c>
      <c r="N177" t="s">
        <v>4110</v>
      </c>
      <c r="O177" t="s">
        <v>4134</v>
      </c>
      <c r="Q177" t="s">
        <v>4147</v>
      </c>
      <c r="R177" t="s">
        <v>3522</v>
      </c>
      <c r="T177" t="s">
        <v>4156</v>
      </c>
      <c r="V177" t="s">
        <v>263</v>
      </c>
      <c r="W177">
        <v>1395</v>
      </c>
      <c r="X177" t="s">
        <v>4195</v>
      </c>
      <c r="Y177" t="s">
        <v>4200</v>
      </c>
      <c r="Z177" t="s">
        <v>4372</v>
      </c>
      <c r="AB177" t="s">
        <v>5775</v>
      </c>
      <c r="AC177">
        <v>404</v>
      </c>
      <c r="AD177" t="s">
        <v>6772</v>
      </c>
      <c r="AE177" t="s">
        <v>6786</v>
      </c>
      <c r="AF177">
        <v>-1</v>
      </c>
      <c r="AG177">
        <v>1</v>
      </c>
      <c r="AH177">
        <v>0</v>
      </c>
      <c r="AI177">
        <v>23.63</v>
      </c>
      <c r="AM177">
        <v>2952</v>
      </c>
    </row>
    <row r="178" spans="1:44">
      <c r="A178" s="1">
        <f>HYPERLINK("https://lsnyc.legalserver.org/matter/dynamic-profile/view/1915385","19-1915385")</f>
        <v>0</v>
      </c>
      <c r="B178" t="s">
        <v>55</v>
      </c>
      <c r="C178" t="s">
        <v>260</v>
      </c>
      <c r="E178" t="s">
        <v>532</v>
      </c>
      <c r="F178" t="s">
        <v>1407</v>
      </c>
      <c r="G178" t="s">
        <v>2313</v>
      </c>
      <c r="H178" t="s">
        <v>3205</v>
      </c>
      <c r="I178" t="s">
        <v>3490</v>
      </c>
      <c r="J178">
        <v>11233</v>
      </c>
      <c r="K178" t="s">
        <v>3522</v>
      </c>
      <c r="L178" t="s">
        <v>3525</v>
      </c>
      <c r="M178" t="s">
        <v>3615</v>
      </c>
      <c r="N178" t="s">
        <v>4109</v>
      </c>
      <c r="O178" t="s">
        <v>4136</v>
      </c>
      <c r="Q178" t="s">
        <v>4147</v>
      </c>
      <c r="R178" t="s">
        <v>3523</v>
      </c>
      <c r="T178" t="s">
        <v>4156</v>
      </c>
      <c r="V178" t="s">
        <v>260</v>
      </c>
      <c r="W178">
        <v>368</v>
      </c>
      <c r="X178" t="s">
        <v>4193</v>
      </c>
      <c r="Y178" t="s">
        <v>4200</v>
      </c>
      <c r="Z178" t="s">
        <v>4373</v>
      </c>
      <c r="AB178" t="s">
        <v>5776</v>
      </c>
      <c r="AC178">
        <v>287</v>
      </c>
      <c r="AD178" t="s">
        <v>6781</v>
      </c>
      <c r="AE178" t="s">
        <v>3526</v>
      </c>
      <c r="AF178">
        <v>5</v>
      </c>
      <c r="AG178">
        <v>1</v>
      </c>
      <c r="AH178">
        <v>2</v>
      </c>
      <c r="AI178">
        <v>23.65</v>
      </c>
      <c r="AL178" t="s">
        <v>6801</v>
      </c>
      <c r="AM178">
        <v>5044</v>
      </c>
    </row>
    <row r="179" spans="1:44">
      <c r="A179" s="1">
        <f>HYPERLINK("https://lsnyc.legalserver.org/matter/dynamic-profile/view/1905892","19-1905892")</f>
        <v>0</v>
      </c>
      <c r="B179" t="s">
        <v>78</v>
      </c>
      <c r="C179" t="s">
        <v>228</v>
      </c>
      <c r="D179" t="s">
        <v>325</v>
      </c>
      <c r="E179" t="s">
        <v>515</v>
      </c>
      <c r="F179" t="s">
        <v>1408</v>
      </c>
      <c r="G179" t="s">
        <v>2314</v>
      </c>
      <c r="H179" t="s">
        <v>3149</v>
      </c>
      <c r="I179" t="s">
        <v>3493</v>
      </c>
      <c r="J179">
        <v>10452</v>
      </c>
      <c r="K179" t="s">
        <v>3522</v>
      </c>
      <c r="L179" t="s">
        <v>3525</v>
      </c>
      <c r="O179" t="s">
        <v>4132</v>
      </c>
      <c r="P179" t="s">
        <v>4139</v>
      </c>
      <c r="Q179" t="s">
        <v>4147</v>
      </c>
      <c r="R179" t="s">
        <v>3523</v>
      </c>
      <c r="T179" t="s">
        <v>4156</v>
      </c>
      <c r="U179" t="s">
        <v>4168</v>
      </c>
      <c r="V179" t="s">
        <v>325</v>
      </c>
      <c r="W179">
        <v>1557</v>
      </c>
      <c r="X179" t="s">
        <v>4194</v>
      </c>
      <c r="Y179" t="s">
        <v>4201</v>
      </c>
      <c r="Z179" t="s">
        <v>4374</v>
      </c>
      <c r="AB179" t="s">
        <v>5777</v>
      </c>
      <c r="AC179">
        <v>18</v>
      </c>
      <c r="AD179" t="s">
        <v>6778</v>
      </c>
      <c r="AE179" t="s">
        <v>3526</v>
      </c>
      <c r="AF179">
        <v>10</v>
      </c>
      <c r="AG179">
        <v>1</v>
      </c>
      <c r="AH179">
        <v>0</v>
      </c>
      <c r="AI179">
        <v>23.83</v>
      </c>
      <c r="AL179" t="s">
        <v>6801</v>
      </c>
      <c r="AM179">
        <v>2976</v>
      </c>
    </row>
    <row r="180" spans="1:44">
      <c r="A180" s="1">
        <f>HYPERLINK("https://lsnyc.legalserver.org/matter/dynamic-profile/view/1905377","19-1905377")</f>
        <v>0</v>
      </c>
      <c r="B180" t="s">
        <v>108</v>
      </c>
      <c r="C180" t="s">
        <v>264</v>
      </c>
      <c r="D180" t="s">
        <v>382</v>
      </c>
      <c r="E180" t="s">
        <v>533</v>
      </c>
      <c r="F180" t="s">
        <v>1379</v>
      </c>
      <c r="G180" t="s">
        <v>2315</v>
      </c>
      <c r="H180" t="s">
        <v>3159</v>
      </c>
      <c r="I180" t="s">
        <v>3481</v>
      </c>
      <c r="J180">
        <v>11420</v>
      </c>
      <c r="K180" t="s">
        <v>3522</v>
      </c>
      <c r="L180" t="s">
        <v>3525</v>
      </c>
      <c r="M180" t="s">
        <v>3616</v>
      </c>
      <c r="N180" t="s">
        <v>4107</v>
      </c>
      <c r="O180" t="s">
        <v>4132</v>
      </c>
      <c r="P180" t="s">
        <v>4139</v>
      </c>
      <c r="Q180" t="s">
        <v>4147</v>
      </c>
      <c r="R180" t="s">
        <v>3523</v>
      </c>
      <c r="T180" t="s">
        <v>4156</v>
      </c>
      <c r="U180" t="s">
        <v>4170</v>
      </c>
      <c r="V180" t="s">
        <v>264</v>
      </c>
      <c r="W180">
        <v>2000</v>
      </c>
      <c r="X180" t="s">
        <v>4192</v>
      </c>
      <c r="Y180" t="s">
        <v>4197</v>
      </c>
      <c r="Z180" t="s">
        <v>4375</v>
      </c>
      <c r="AA180" t="s">
        <v>5515</v>
      </c>
      <c r="AB180" t="s">
        <v>5778</v>
      </c>
      <c r="AC180">
        <v>1</v>
      </c>
      <c r="AD180" t="s">
        <v>6771</v>
      </c>
      <c r="AE180" t="s">
        <v>4200</v>
      </c>
      <c r="AF180">
        <v>1</v>
      </c>
      <c r="AG180">
        <v>2</v>
      </c>
      <c r="AH180">
        <v>3</v>
      </c>
      <c r="AI180">
        <v>23.86</v>
      </c>
      <c r="AL180" t="s">
        <v>6801</v>
      </c>
      <c r="AM180">
        <v>7200</v>
      </c>
    </row>
    <row r="181" spans="1:44">
      <c r="A181" s="1">
        <f>HYPERLINK("https://lsnyc.legalserver.org/matter/dynamic-profile/view/1901849","19-1901849")</f>
        <v>0</v>
      </c>
      <c r="B181" t="s">
        <v>79</v>
      </c>
      <c r="C181" t="s">
        <v>227</v>
      </c>
      <c r="D181" t="s">
        <v>227</v>
      </c>
      <c r="E181" t="s">
        <v>534</v>
      </c>
      <c r="F181" t="s">
        <v>1264</v>
      </c>
      <c r="G181" t="s">
        <v>2316</v>
      </c>
      <c r="I181" t="s">
        <v>3493</v>
      </c>
      <c r="J181">
        <v>10458</v>
      </c>
      <c r="K181" t="s">
        <v>3522</v>
      </c>
      <c r="L181" t="s">
        <v>3525</v>
      </c>
      <c r="M181" t="s">
        <v>3562</v>
      </c>
      <c r="N181" t="s">
        <v>4122</v>
      </c>
      <c r="O181" t="s">
        <v>4132</v>
      </c>
      <c r="P181" t="s">
        <v>4139</v>
      </c>
      <c r="Q181" t="s">
        <v>4147</v>
      </c>
      <c r="R181" t="s">
        <v>3523</v>
      </c>
      <c r="T181" t="s">
        <v>4156</v>
      </c>
      <c r="U181" t="s">
        <v>4171</v>
      </c>
      <c r="V181" t="s">
        <v>227</v>
      </c>
      <c r="W181">
        <v>0</v>
      </c>
      <c r="X181" t="s">
        <v>4194</v>
      </c>
      <c r="Z181" t="s">
        <v>4376</v>
      </c>
      <c r="AB181" t="s">
        <v>5779</v>
      </c>
      <c r="AC181">
        <v>0</v>
      </c>
      <c r="AD181" t="s">
        <v>6772</v>
      </c>
      <c r="AE181" t="s">
        <v>3526</v>
      </c>
      <c r="AF181">
        <v>2</v>
      </c>
      <c r="AG181">
        <v>1</v>
      </c>
      <c r="AH181">
        <v>0</v>
      </c>
      <c r="AI181">
        <v>24.02</v>
      </c>
      <c r="AL181" t="s">
        <v>6801</v>
      </c>
      <c r="AM181">
        <v>3000</v>
      </c>
    </row>
    <row r="182" spans="1:44">
      <c r="A182" s="1">
        <f>HYPERLINK("https://lsnyc.legalserver.org/matter/dynamic-profile/view/1905313","19-1905313")</f>
        <v>0</v>
      </c>
      <c r="B182" t="s">
        <v>109</v>
      </c>
      <c r="C182" t="s">
        <v>255</v>
      </c>
      <c r="D182" t="s">
        <v>239</v>
      </c>
      <c r="E182" t="s">
        <v>535</v>
      </c>
      <c r="F182" t="s">
        <v>1301</v>
      </c>
      <c r="G182" t="s">
        <v>2317</v>
      </c>
      <c r="H182">
        <v>404</v>
      </c>
      <c r="I182" t="s">
        <v>3493</v>
      </c>
      <c r="J182">
        <v>10460</v>
      </c>
      <c r="K182" t="s">
        <v>3522</v>
      </c>
      <c r="L182" t="s">
        <v>3526</v>
      </c>
      <c r="M182" t="s">
        <v>3617</v>
      </c>
      <c r="N182" t="s">
        <v>4109</v>
      </c>
      <c r="O182" t="s">
        <v>4134</v>
      </c>
      <c r="P182" t="s">
        <v>4140</v>
      </c>
      <c r="Q182" t="s">
        <v>4147</v>
      </c>
      <c r="R182" t="s">
        <v>3523</v>
      </c>
      <c r="T182" t="s">
        <v>4156</v>
      </c>
      <c r="U182" t="s">
        <v>4171</v>
      </c>
      <c r="V182" t="s">
        <v>216</v>
      </c>
      <c r="W182">
        <v>1269</v>
      </c>
      <c r="X182" t="s">
        <v>4194</v>
      </c>
      <c r="Y182" t="s">
        <v>4203</v>
      </c>
      <c r="Z182" t="s">
        <v>4377</v>
      </c>
      <c r="AB182" t="s">
        <v>5780</v>
      </c>
      <c r="AC182">
        <v>27</v>
      </c>
      <c r="AD182" t="s">
        <v>6772</v>
      </c>
      <c r="AE182" t="s">
        <v>6786</v>
      </c>
      <c r="AF182">
        <v>13</v>
      </c>
      <c r="AG182">
        <v>3</v>
      </c>
      <c r="AH182">
        <v>0</v>
      </c>
      <c r="AI182">
        <v>24.19</v>
      </c>
      <c r="AL182" t="s">
        <v>6801</v>
      </c>
      <c r="AM182">
        <v>5160</v>
      </c>
      <c r="AO182" t="s">
        <v>6917</v>
      </c>
      <c r="AP182" t="s">
        <v>6924</v>
      </c>
      <c r="AQ182" t="s">
        <v>6945</v>
      </c>
      <c r="AR182" t="s">
        <v>6958</v>
      </c>
    </row>
    <row r="183" spans="1:44">
      <c r="A183" s="1">
        <f>HYPERLINK("https://lsnyc.legalserver.org/matter/dynamic-profile/view/1916094","19-1916094")</f>
        <v>0</v>
      </c>
      <c r="B183" t="s">
        <v>110</v>
      </c>
      <c r="C183" t="s">
        <v>240</v>
      </c>
      <c r="E183" t="s">
        <v>536</v>
      </c>
      <c r="F183" t="s">
        <v>906</v>
      </c>
      <c r="G183" t="s">
        <v>2318</v>
      </c>
      <c r="H183" t="s">
        <v>3151</v>
      </c>
      <c r="I183" t="s">
        <v>3490</v>
      </c>
      <c r="J183">
        <v>11233</v>
      </c>
      <c r="K183" t="s">
        <v>3522</v>
      </c>
      <c r="L183" t="s">
        <v>3525</v>
      </c>
      <c r="M183" t="s">
        <v>3554</v>
      </c>
      <c r="N183" t="s">
        <v>3554</v>
      </c>
      <c r="Q183" t="s">
        <v>4147</v>
      </c>
      <c r="R183" t="s">
        <v>3523</v>
      </c>
      <c r="T183" t="s">
        <v>4156</v>
      </c>
      <c r="V183" t="s">
        <v>240</v>
      </c>
      <c r="W183">
        <v>309</v>
      </c>
      <c r="X183" t="s">
        <v>4193</v>
      </c>
      <c r="Y183" t="s">
        <v>4205</v>
      </c>
      <c r="Z183" t="s">
        <v>4378</v>
      </c>
      <c r="AB183" t="s">
        <v>5781</v>
      </c>
      <c r="AC183">
        <v>6</v>
      </c>
      <c r="AD183" t="s">
        <v>6772</v>
      </c>
      <c r="AE183" t="s">
        <v>3526</v>
      </c>
      <c r="AF183">
        <v>-1</v>
      </c>
      <c r="AG183">
        <v>1</v>
      </c>
      <c r="AH183">
        <v>4</v>
      </c>
      <c r="AI183">
        <v>24.58</v>
      </c>
      <c r="AL183" t="s">
        <v>6801</v>
      </c>
      <c r="AM183">
        <v>7416</v>
      </c>
    </row>
    <row r="184" spans="1:44">
      <c r="A184" s="1">
        <f>HYPERLINK("https://lsnyc.legalserver.org/matter/dynamic-profile/view/1909991","19-1909991")</f>
        <v>0</v>
      </c>
      <c r="B184" t="s">
        <v>96</v>
      </c>
      <c r="C184" t="s">
        <v>234</v>
      </c>
      <c r="D184" t="s">
        <v>201</v>
      </c>
      <c r="E184" t="s">
        <v>537</v>
      </c>
      <c r="F184" t="s">
        <v>1369</v>
      </c>
      <c r="G184" t="s">
        <v>2319</v>
      </c>
      <c r="I184" t="s">
        <v>3493</v>
      </c>
      <c r="J184">
        <v>10451</v>
      </c>
      <c r="K184" t="s">
        <v>3522</v>
      </c>
      <c r="L184" t="s">
        <v>3525</v>
      </c>
      <c r="N184" t="s">
        <v>4113</v>
      </c>
      <c r="O184" t="s">
        <v>4132</v>
      </c>
      <c r="P184" t="s">
        <v>4139</v>
      </c>
      <c r="Q184" t="s">
        <v>4147</v>
      </c>
      <c r="R184" t="s">
        <v>3523</v>
      </c>
      <c r="T184" t="s">
        <v>4156</v>
      </c>
      <c r="V184" t="s">
        <v>201</v>
      </c>
      <c r="W184">
        <v>0</v>
      </c>
      <c r="X184" t="s">
        <v>4194</v>
      </c>
      <c r="Y184" t="s">
        <v>4206</v>
      </c>
      <c r="Z184" t="s">
        <v>4379</v>
      </c>
      <c r="AB184" t="s">
        <v>5782</v>
      </c>
      <c r="AC184">
        <v>0</v>
      </c>
      <c r="AD184" t="s">
        <v>5524</v>
      </c>
      <c r="AE184" t="s">
        <v>3526</v>
      </c>
      <c r="AF184">
        <v>2</v>
      </c>
      <c r="AG184">
        <v>2</v>
      </c>
      <c r="AH184">
        <v>0</v>
      </c>
      <c r="AI184">
        <v>25.43</v>
      </c>
      <c r="AL184" t="s">
        <v>6801</v>
      </c>
      <c r="AM184">
        <v>4300</v>
      </c>
    </row>
    <row r="185" spans="1:44">
      <c r="A185" s="1">
        <f>HYPERLINK("https://lsnyc.legalserver.org/matter/dynamic-profile/view/1913612","19-1913612")</f>
        <v>0</v>
      </c>
      <c r="B185" t="s">
        <v>63</v>
      </c>
      <c r="C185" t="s">
        <v>265</v>
      </c>
      <c r="E185" t="s">
        <v>538</v>
      </c>
      <c r="F185" t="s">
        <v>1409</v>
      </c>
      <c r="G185" t="s">
        <v>2320</v>
      </c>
      <c r="H185" t="s">
        <v>3206</v>
      </c>
      <c r="I185" t="s">
        <v>3490</v>
      </c>
      <c r="J185">
        <v>11233</v>
      </c>
      <c r="K185" t="s">
        <v>3522</v>
      </c>
      <c r="L185" t="s">
        <v>3525</v>
      </c>
      <c r="M185" t="s">
        <v>3618</v>
      </c>
      <c r="N185" t="s">
        <v>4107</v>
      </c>
      <c r="O185" t="s">
        <v>4134</v>
      </c>
      <c r="Q185" t="s">
        <v>4147</v>
      </c>
      <c r="R185" t="s">
        <v>3523</v>
      </c>
      <c r="T185" t="s">
        <v>4156</v>
      </c>
      <c r="U185" t="s">
        <v>4168</v>
      </c>
      <c r="V185" t="s">
        <v>192</v>
      </c>
      <c r="W185">
        <v>0</v>
      </c>
      <c r="X185" t="s">
        <v>4193</v>
      </c>
      <c r="Y185" t="s">
        <v>4201</v>
      </c>
      <c r="Z185" t="s">
        <v>4380</v>
      </c>
      <c r="AA185" t="s">
        <v>5516</v>
      </c>
      <c r="AB185" t="s">
        <v>5783</v>
      </c>
      <c r="AC185">
        <v>13</v>
      </c>
      <c r="AD185" t="s">
        <v>6772</v>
      </c>
      <c r="AE185" t="s">
        <v>3526</v>
      </c>
      <c r="AF185">
        <v>7</v>
      </c>
      <c r="AG185">
        <v>1</v>
      </c>
      <c r="AH185">
        <v>0</v>
      </c>
      <c r="AI185">
        <v>25.71</v>
      </c>
      <c r="AL185" t="s">
        <v>6801</v>
      </c>
      <c r="AM185">
        <v>3211</v>
      </c>
    </row>
    <row r="186" spans="1:44">
      <c r="A186" s="1">
        <f>HYPERLINK("https://lsnyc.legalserver.org/matter/dynamic-profile/view/1907258","19-1907258")</f>
        <v>0</v>
      </c>
      <c r="B186" t="s">
        <v>63</v>
      </c>
      <c r="C186" t="s">
        <v>225</v>
      </c>
      <c r="E186" t="s">
        <v>539</v>
      </c>
      <c r="F186" t="s">
        <v>1410</v>
      </c>
      <c r="G186" t="s">
        <v>2321</v>
      </c>
      <c r="H186" t="s">
        <v>3170</v>
      </c>
      <c r="I186" t="s">
        <v>3490</v>
      </c>
      <c r="J186">
        <v>11233</v>
      </c>
      <c r="K186" t="s">
        <v>3522</v>
      </c>
      <c r="L186" t="s">
        <v>3525</v>
      </c>
      <c r="M186" t="s">
        <v>3619</v>
      </c>
      <c r="N186" t="s">
        <v>4109</v>
      </c>
      <c r="O186" t="s">
        <v>4134</v>
      </c>
      <c r="Q186" t="s">
        <v>4147</v>
      </c>
      <c r="R186" t="s">
        <v>3523</v>
      </c>
      <c r="T186" t="s">
        <v>4156</v>
      </c>
      <c r="U186" t="s">
        <v>4169</v>
      </c>
      <c r="V186" t="s">
        <v>298</v>
      </c>
      <c r="W186">
        <v>627</v>
      </c>
      <c r="X186" t="s">
        <v>4193</v>
      </c>
      <c r="Y186" t="s">
        <v>4201</v>
      </c>
      <c r="Z186" t="s">
        <v>4381</v>
      </c>
      <c r="AA186" t="s">
        <v>5517</v>
      </c>
      <c r="AB186" t="s">
        <v>5784</v>
      </c>
      <c r="AC186">
        <v>112</v>
      </c>
      <c r="AD186" t="s">
        <v>6772</v>
      </c>
      <c r="AE186" t="s">
        <v>6786</v>
      </c>
      <c r="AF186">
        <v>8</v>
      </c>
      <c r="AG186">
        <v>1</v>
      </c>
      <c r="AH186">
        <v>0</v>
      </c>
      <c r="AI186">
        <v>26.55</v>
      </c>
      <c r="AL186" t="s">
        <v>6801</v>
      </c>
      <c r="AM186">
        <v>3315.6</v>
      </c>
    </row>
    <row r="187" spans="1:44">
      <c r="A187" s="1">
        <f>HYPERLINK("https://lsnyc.legalserver.org/matter/dynamic-profile/view/1909771","19-1909771")</f>
        <v>0</v>
      </c>
      <c r="B187" t="s">
        <v>82</v>
      </c>
      <c r="C187" t="s">
        <v>227</v>
      </c>
      <c r="E187" t="s">
        <v>540</v>
      </c>
      <c r="F187" t="s">
        <v>1411</v>
      </c>
      <c r="G187" t="s">
        <v>2232</v>
      </c>
      <c r="H187" t="s">
        <v>3207</v>
      </c>
      <c r="I187" t="s">
        <v>3493</v>
      </c>
      <c r="J187">
        <v>10457</v>
      </c>
      <c r="K187" t="s">
        <v>3522</v>
      </c>
      <c r="L187" t="s">
        <v>3525</v>
      </c>
      <c r="M187" t="s">
        <v>3620</v>
      </c>
      <c r="N187" t="s">
        <v>4110</v>
      </c>
      <c r="O187" t="s">
        <v>4132</v>
      </c>
      <c r="Q187" t="s">
        <v>4147</v>
      </c>
      <c r="R187" t="s">
        <v>3523</v>
      </c>
      <c r="T187" t="s">
        <v>4156</v>
      </c>
      <c r="V187" t="s">
        <v>4178</v>
      </c>
      <c r="W187">
        <v>1750</v>
      </c>
      <c r="X187" t="s">
        <v>4194</v>
      </c>
      <c r="Y187" t="s">
        <v>4206</v>
      </c>
      <c r="Z187" t="s">
        <v>4382</v>
      </c>
      <c r="AC187">
        <v>47</v>
      </c>
      <c r="AD187" t="s">
        <v>6772</v>
      </c>
      <c r="AE187" t="s">
        <v>3526</v>
      </c>
      <c r="AF187">
        <v>5</v>
      </c>
      <c r="AG187">
        <v>1</v>
      </c>
      <c r="AH187">
        <v>1</v>
      </c>
      <c r="AI187">
        <v>27.68</v>
      </c>
      <c r="AL187" t="s">
        <v>6802</v>
      </c>
      <c r="AM187">
        <v>4680</v>
      </c>
    </row>
    <row r="188" spans="1:44">
      <c r="A188" s="1">
        <f>HYPERLINK("https://lsnyc.legalserver.org/matter/dynamic-profile/view/1913644","19-1913644")</f>
        <v>0</v>
      </c>
      <c r="B188" t="s">
        <v>55</v>
      </c>
      <c r="C188" t="s">
        <v>265</v>
      </c>
      <c r="E188" t="s">
        <v>541</v>
      </c>
      <c r="F188" t="s">
        <v>1408</v>
      </c>
      <c r="G188" t="s">
        <v>2214</v>
      </c>
      <c r="I188" t="s">
        <v>3490</v>
      </c>
      <c r="J188">
        <v>11212</v>
      </c>
      <c r="K188" t="s">
        <v>3522</v>
      </c>
      <c r="L188" t="s">
        <v>3525</v>
      </c>
      <c r="M188" t="s">
        <v>3621</v>
      </c>
      <c r="N188" t="s">
        <v>4109</v>
      </c>
      <c r="O188" t="s">
        <v>4136</v>
      </c>
      <c r="Q188" t="s">
        <v>4147</v>
      </c>
      <c r="R188" t="s">
        <v>3523</v>
      </c>
      <c r="T188" t="s">
        <v>4156</v>
      </c>
      <c r="U188" t="s">
        <v>4168</v>
      </c>
      <c r="V188" t="s">
        <v>299</v>
      </c>
      <c r="W188">
        <v>1417.68</v>
      </c>
      <c r="X188" t="s">
        <v>4193</v>
      </c>
      <c r="Y188" t="s">
        <v>4200</v>
      </c>
      <c r="Z188" t="s">
        <v>4383</v>
      </c>
      <c r="AA188" t="s">
        <v>5518</v>
      </c>
      <c r="AB188" t="s">
        <v>5785</v>
      </c>
      <c r="AC188">
        <v>21</v>
      </c>
      <c r="AD188" t="s">
        <v>6772</v>
      </c>
      <c r="AE188" t="s">
        <v>6786</v>
      </c>
      <c r="AF188">
        <v>8</v>
      </c>
      <c r="AG188">
        <v>2</v>
      </c>
      <c r="AH188">
        <v>0</v>
      </c>
      <c r="AI188">
        <v>28.24</v>
      </c>
      <c r="AL188" t="s">
        <v>6801</v>
      </c>
      <c r="AM188">
        <v>4776</v>
      </c>
    </row>
    <row r="189" spans="1:44">
      <c r="A189" s="1">
        <f>HYPERLINK("https://lsnyc.legalserver.org/matter/dynamic-profile/view/1905514","19-1905514")</f>
        <v>0</v>
      </c>
      <c r="B189" t="s">
        <v>44</v>
      </c>
      <c r="C189" t="s">
        <v>266</v>
      </c>
      <c r="E189" t="s">
        <v>542</v>
      </c>
      <c r="F189" t="s">
        <v>1412</v>
      </c>
      <c r="G189" t="s">
        <v>2322</v>
      </c>
      <c r="H189" t="s">
        <v>3208</v>
      </c>
      <c r="I189" t="s">
        <v>3500</v>
      </c>
      <c r="J189">
        <v>11423</v>
      </c>
      <c r="K189" t="s">
        <v>3522</v>
      </c>
      <c r="L189" t="s">
        <v>3525</v>
      </c>
      <c r="M189" t="s">
        <v>3622</v>
      </c>
      <c r="N189" t="s">
        <v>4107</v>
      </c>
      <c r="O189" t="s">
        <v>4134</v>
      </c>
      <c r="Q189" t="s">
        <v>4147</v>
      </c>
      <c r="R189" t="s">
        <v>3523</v>
      </c>
      <c r="T189" t="s">
        <v>4156</v>
      </c>
      <c r="U189" t="s">
        <v>4168</v>
      </c>
      <c r="V189" t="s">
        <v>188</v>
      </c>
      <c r="W189">
        <v>1900</v>
      </c>
      <c r="X189" t="s">
        <v>4192</v>
      </c>
      <c r="Y189" t="s">
        <v>4201</v>
      </c>
      <c r="Z189" t="s">
        <v>4384</v>
      </c>
      <c r="AB189" t="s">
        <v>5786</v>
      </c>
      <c r="AC189">
        <v>2</v>
      </c>
      <c r="AD189" t="s">
        <v>6771</v>
      </c>
      <c r="AE189" t="s">
        <v>3526</v>
      </c>
      <c r="AF189">
        <v>1</v>
      </c>
      <c r="AG189">
        <v>1</v>
      </c>
      <c r="AH189">
        <v>1</v>
      </c>
      <c r="AI189">
        <v>28.39</v>
      </c>
      <c r="AL189" t="s">
        <v>6803</v>
      </c>
      <c r="AM189">
        <v>4800</v>
      </c>
      <c r="AO189" t="s">
        <v>6918</v>
      </c>
      <c r="AP189" t="s">
        <v>4200</v>
      </c>
      <c r="AQ189" t="s">
        <v>6946</v>
      </c>
      <c r="AR189" t="s">
        <v>6959</v>
      </c>
    </row>
    <row r="190" spans="1:44">
      <c r="A190" s="1">
        <f>HYPERLINK("https://lsnyc.legalserver.org/matter/dynamic-profile/view/1914730","19-1914730")</f>
        <v>0</v>
      </c>
      <c r="B190" t="s">
        <v>111</v>
      </c>
      <c r="C190" t="s">
        <v>267</v>
      </c>
      <c r="E190" t="s">
        <v>437</v>
      </c>
      <c r="F190" t="s">
        <v>1413</v>
      </c>
      <c r="G190" t="s">
        <v>2323</v>
      </c>
      <c r="H190" t="s">
        <v>3209</v>
      </c>
      <c r="I190" t="s">
        <v>3490</v>
      </c>
      <c r="J190">
        <v>11236</v>
      </c>
      <c r="K190" t="s">
        <v>3522</v>
      </c>
      <c r="L190" t="s">
        <v>3525</v>
      </c>
      <c r="M190" t="s">
        <v>3623</v>
      </c>
      <c r="N190" t="s">
        <v>4109</v>
      </c>
      <c r="O190" t="s">
        <v>4134</v>
      </c>
      <c r="Q190" t="s">
        <v>4147</v>
      </c>
      <c r="R190" t="s">
        <v>3523</v>
      </c>
      <c r="T190" t="s">
        <v>4156</v>
      </c>
      <c r="V190" t="s">
        <v>267</v>
      </c>
      <c r="W190">
        <v>1400</v>
      </c>
      <c r="X190" t="s">
        <v>4193</v>
      </c>
      <c r="Y190" t="s">
        <v>4200</v>
      </c>
      <c r="Z190" t="s">
        <v>4385</v>
      </c>
      <c r="AB190" t="s">
        <v>5787</v>
      </c>
      <c r="AC190">
        <v>0</v>
      </c>
      <c r="AD190" t="s">
        <v>6777</v>
      </c>
      <c r="AE190" t="s">
        <v>3526</v>
      </c>
      <c r="AF190">
        <v>22</v>
      </c>
      <c r="AG190">
        <v>2</v>
      </c>
      <c r="AH190">
        <v>0</v>
      </c>
      <c r="AI190">
        <v>28.39</v>
      </c>
      <c r="AL190" t="s">
        <v>6801</v>
      </c>
      <c r="AM190">
        <v>4800</v>
      </c>
    </row>
    <row r="191" spans="1:44">
      <c r="A191" s="1">
        <f>HYPERLINK("https://lsnyc.legalserver.org/matter/dynamic-profile/view/1908080","19-1908080")</f>
        <v>0</v>
      </c>
      <c r="B191" t="s">
        <v>77</v>
      </c>
      <c r="C191" t="s">
        <v>193</v>
      </c>
      <c r="D191" t="s">
        <v>267</v>
      </c>
      <c r="E191" t="s">
        <v>543</v>
      </c>
      <c r="F191" t="s">
        <v>1414</v>
      </c>
      <c r="G191" t="s">
        <v>2324</v>
      </c>
      <c r="H191" t="s">
        <v>3209</v>
      </c>
      <c r="I191" t="s">
        <v>3493</v>
      </c>
      <c r="J191">
        <v>10452</v>
      </c>
      <c r="K191" t="s">
        <v>3522</v>
      </c>
      <c r="L191" t="s">
        <v>3525</v>
      </c>
      <c r="M191" t="s">
        <v>3562</v>
      </c>
      <c r="N191" t="s">
        <v>4109</v>
      </c>
      <c r="O191" t="s">
        <v>4132</v>
      </c>
      <c r="P191" t="s">
        <v>4139</v>
      </c>
      <c r="Q191" t="s">
        <v>4147</v>
      </c>
      <c r="R191" t="s">
        <v>3523</v>
      </c>
      <c r="T191" t="s">
        <v>4156</v>
      </c>
      <c r="U191" t="s">
        <v>4168</v>
      </c>
      <c r="V191" t="s">
        <v>251</v>
      </c>
      <c r="W191">
        <v>687.8</v>
      </c>
      <c r="X191" t="s">
        <v>4194</v>
      </c>
      <c r="Y191" t="s">
        <v>4206</v>
      </c>
      <c r="Z191" t="s">
        <v>4386</v>
      </c>
      <c r="AB191" t="s">
        <v>5788</v>
      </c>
      <c r="AC191">
        <v>73</v>
      </c>
      <c r="AD191" t="s">
        <v>6772</v>
      </c>
      <c r="AE191" t="s">
        <v>3526</v>
      </c>
      <c r="AF191">
        <v>5</v>
      </c>
      <c r="AG191">
        <v>2</v>
      </c>
      <c r="AH191">
        <v>0</v>
      </c>
      <c r="AI191">
        <v>28.39</v>
      </c>
      <c r="AL191" t="s">
        <v>6801</v>
      </c>
      <c r="AM191">
        <v>4800</v>
      </c>
    </row>
    <row r="192" spans="1:44">
      <c r="A192" s="1">
        <f>HYPERLINK("https://lsnyc.legalserver.org/matter/dynamic-profile/view/1914991","19-1914991")</f>
        <v>0</v>
      </c>
      <c r="B192" t="s">
        <v>104</v>
      </c>
      <c r="C192" t="s">
        <v>253</v>
      </c>
      <c r="D192" t="s">
        <v>204</v>
      </c>
      <c r="E192" t="s">
        <v>544</v>
      </c>
      <c r="F192" t="s">
        <v>588</v>
      </c>
      <c r="G192" t="s">
        <v>2325</v>
      </c>
      <c r="I192" t="s">
        <v>3493</v>
      </c>
      <c r="J192">
        <v>10451</v>
      </c>
      <c r="K192" t="s">
        <v>3522</v>
      </c>
      <c r="L192" t="s">
        <v>3525</v>
      </c>
      <c r="N192" t="s">
        <v>4123</v>
      </c>
      <c r="O192" t="s">
        <v>4135</v>
      </c>
      <c r="P192" t="s">
        <v>4142</v>
      </c>
      <c r="Q192" t="s">
        <v>4147</v>
      </c>
      <c r="R192" t="s">
        <v>3523</v>
      </c>
      <c r="T192" t="s">
        <v>4156</v>
      </c>
      <c r="V192" t="s">
        <v>204</v>
      </c>
      <c r="W192">
        <v>508</v>
      </c>
      <c r="X192" t="s">
        <v>4194</v>
      </c>
      <c r="Y192" t="s">
        <v>4206</v>
      </c>
      <c r="Z192" t="s">
        <v>4387</v>
      </c>
      <c r="AC192">
        <v>929</v>
      </c>
      <c r="AD192" t="s">
        <v>5524</v>
      </c>
      <c r="AE192" t="s">
        <v>3526</v>
      </c>
      <c r="AF192">
        <v>6</v>
      </c>
      <c r="AG192">
        <v>1</v>
      </c>
      <c r="AH192">
        <v>1</v>
      </c>
      <c r="AI192">
        <v>28.39</v>
      </c>
      <c r="AL192" t="s">
        <v>6801</v>
      </c>
      <c r="AM192">
        <v>4800</v>
      </c>
    </row>
    <row r="193" spans="1:44">
      <c r="A193" s="1">
        <f>HYPERLINK("https://lsnyc.legalserver.org/matter/dynamic-profile/view/1907161","19-1907161")</f>
        <v>0</v>
      </c>
      <c r="B193" t="s">
        <v>108</v>
      </c>
      <c r="C193" t="s">
        <v>268</v>
      </c>
      <c r="D193" t="s">
        <v>360</v>
      </c>
      <c r="E193" t="s">
        <v>545</v>
      </c>
      <c r="F193" t="s">
        <v>1415</v>
      </c>
      <c r="G193" t="s">
        <v>2326</v>
      </c>
      <c r="H193" t="s">
        <v>3161</v>
      </c>
      <c r="I193" t="s">
        <v>3501</v>
      </c>
      <c r="J193">
        <v>11101</v>
      </c>
      <c r="K193" t="s">
        <v>3522</v>
      </c>
      <c r="L193" t="s">
        <v>3525</v>
      </c>
      <c r="N193" t="s">
        <v>4113</v>
      </c>
      <c r="O193" t="s">
        <v>4132</v>
      </c>
      <c r="P193" t="s">
        <v>4139</v>
      </c>
      <c r="Q193" t="s">
        <v>4147</v>
      </c>
      <c r="R193" t="s">
        <v>3523</v>
      </c>
      <c r="T193" t="s">
        <v>4156</v>
      </c>
      <c r="U193" t="s">
        <v>4168</v>
      </c>
      <c r="V193" t="s">
        <v>360</v>
      </c>
      <c r="W193">
        <v>1046</v>
      </c>
      <c r="X193" t="s">
        <v>4192</v>
      </c>
      <c r="Y193" t="s">
        <v>4202</v>
      </c>
      <c r="Z193" t="s">
        <v>4388</v>
      </c>
      <c r="AA193" t="s">
        <v>5482</v>
      </c>
      <c r="AB193" t="s">
        <v>5482</v>
      </c>
      <c r="AC193">
        <v>6</v>
      </c>
      <c r="AD193" t="s">
        <v>6772</v>
      </c>
      <c r="AE193" t="s">
        <v>3526</v>
      </c>
      <c r="AF193">
        <v>20</v>
      </c>
      <c r="AG193">
        <v>1</v>
      </c>
      <c r="AH193">
        <v>0</v>
      </c>
      <c r="AI193">
        <v>28.82</v>
      </c>
      <c r="AL193" t="s">
        <v>6801</v>
      </c>
      <c r="AM193">
        <v>3600</v>
      </c>
    </row>
    <row r="194" spans="1:44">
      <c r="A194" s="1">
        <f>HYPERLINK("https://lsnyc.legalserver.org/matter/dynamic-profile/view/1914262","19-1914262")</f>
        <v>0</v>
      </c>
      <c r="B194" t="s">
        <v>55</v>
      </c>
      <c r="C194" t="s">
        <v>245</v>
      </c>
      <c r="D194" t="s">
        <v>213</v>
      </c>
      <c r="E194" t="s">
        <v>546</v>
      </c>
      <c r="F194" t="s">
        <v>1416</v>
      </c>
      <c r="G194" t="s">
        <v>2327</v>
      </c>
      <c r="H194" t="s">
        <v>3209</v>
      </c>
      <c r="I194" t="s">
        <v>3490</v>
      </c>
      <c r="J194">
        <v>11212</v>
      </c>
      <c r="K194" t="s">
        <v>3522</v>
      </c>
      <c r="L194" t="s">
        <v>3525</v>
      </c>
      <c r="M194" t="s">
        <v>3624</v>
      </c>
      <c r="N194" t="s">
        <v>4107</v>
      </c>
      <c r="O194" t="s">
        <v>4132</v>
      </c>
      <c r="P194" t="s">
        <v>4139</v>
      </c>
      <c r="Q194" t="s">
        <v>4147</v>
      </c>
      <c r="R194" t="s">
        <v>3523</v>
      </c>
      <c r="T194" t="s">
        <v>4156</v>
      </c>
      <c r="U194" t="s">
        <v>4170</v>
      </c>
      <c r="V194" t="s">
        <v>182</v>
      </c>
      <c r="W194">
        <v>947</v>
      </c>
      <c r="X194" t="s">
        <v>4193</v>
      </c>
      <c r="Y194" t="s">
        <v>4201</v>
      </c>
      <c r="Z194" t="s">
        <v>4389</v>
      </c>
      <c r="AA194" t="s">
        <v>5488</v>
      </c>
      <c r="AB194" t="s">
        <v>5789</v>
      </c>
      <c r="AC194">
        <v>54</v>
      </c>
      <c r="AD194" t="s">
        <v>6772</v>
      </c>
      <c r="AF194">
        <v>6</v>
      </c>
      <c r="AG194">
        <v>1</v>
      </c>
      <c r="AH194">
        <v>0</v>
      </c>
      <c r="AI194">
        <v>29.3</v>
      </c>
      <c r="AL194" t="s">
        <v>6801</v>
      </c>
      <c r="AM194">
        <v>3660</v>
      </c>
    </row>
    <row r="195" spans="1:44">
      <c r="A195" s="1">
        <f>HYPERLINK("https://lsnyc.legalserver.org/matter/dynamic-profile/view/1907511","19-1907511")</f>
        <v>0</v>
      </c>
      <c r="B195" t="s">
        <v>44</v>
      </c>
      <c r="C195" t="s">
        <v>185</v>
      </c>
      <c r="D195" t="s">
        <v>360</v>
      </c>
      <c r="E195" t="s">
        <v>547</v>
      </c>
      <c r="F195" t="s">
        <v>1417</v>
      </c>
      <c r="G195" t="s">
        <v>2328</v>
      </c>
      <c r="H195">
        <v>1</v>
      </c>
      <c r="I195" t="s">
        <v>3502</v>
      </c>
      <c r="J195">
        <v>11413</v>
      </c>
      <c r="K195" t="s">
        <v>3522</v>
      </c>
      <c r="L195" t="s">
        <v>3525</v>
      </c>
      <c r="M195" t="s">
        <v>3625</v>
      </c>
      <c r="N195" t="s">
        <v>4107</v>
      </c>
      <c r="O195" t="s">
        <v>4132</v>
      </c>
      <c r="P195" t="s">
        <v>4139</v>
      </c>
      <c r="Q195" t="s">
        <v>4147</v>
      </c>
      <c r="R195" t="s">
        <v>3523</v>
      </c>
      <c r="T195" t="s">
        <v>4156</v>
      </c>
      <c r="U195" t="s">
        <v>4167</v>
      </c>
      <c r="V195" t="s">
        <v>185</v>
      </c>
      <c r="W195">
        <v>1000</v>
      </c>
      <c r="X195" t="s">
        <v>4192</v>
      </c>
      <c r="Y195" t="s">
        <v>4197</v>
      </c>
      <c r="Z195" t="s">
        <v>4390</v>
      </c>
      <c r="AA195" t="s">
        <v>3526</v>
      </c>
      <c r="AB195" t="s">
        <v>5790</v>
      </c>
      <c r="AC195">
        <v>2</v>
      </c>
      <c r="AD195" t="s">
        <v>6771</v>
      </c>
      <c r="AE195" t="s">
        <v>3526</v>
      </c>
      <c r="AF195">
        <v>1</v>
      </c>
      <c r="AG195">
        <v>1</v>
      </c>
      <c r="AH195">
        <v>1</v>
      </c>
      <c r="AI195">
        <v>29.57</v>
      </c>
      <c r="AL195" t="s">
        <v>6801</v>
      </c>
      <c r="AM195">
        <v>5000</v>
      </c>
    </row>
    <row r="196" spans="1:44">
      <c r="A196" s="1">
        <f>HYPERLINK("https://lsnyc.legalserver.org/matter/dynamic-profile/view/1909404","19-1909404")</f>
        <v>0</v>
      </c>
      <c r="B196" t="s">
        <v>60</v>
      </c>
      <c r="C196" t="s">
        <v>247</v>
      </c>
      <c r="E196" t="s">
        <v>548</v>
      </c>
      <c r="F196" t="s">
        <v>1418</v>
      </c>
      <c r="G196" t="s">
        <v>2329</v>
      </c>
      <c r="H196">
        <v>1</v>
      </c>
      <c r="I196" t="s">
        <v>3490</v>
      </c>
      <c r="J196">
        <v>11207</v>
      </c>
      <c r="K196" t="s">
        <v>3522</v>
      </c>
      <c r="L196" t="s">
        <v>3527</v>
      </c>
      <c r="M196" t="s">
        <v>3626</v>
      </c>
      <c r="N196" t="s">
        <v>4109</v>
      </c>
      <c r="O196" t="s">
        <v>4134</v>
      </c>
      <c r="Q196" t="s">
        <v>4147</v>
      </c>
      <c r="R196" t="s">
        <v>3523</v>
      </c>
      <c r="T196" t="s">
        <v>4156</v>
      </c>
      <c r="U196" t="s">
        <v>4168</v>
      </c>
      <c r="V196" t="s">
        <v>247</v>
      </c>
      <c r="W196">
        <v>2000</v>
      </c>
      <c r="X196" t="s">
        <v>4193</v>
      </c>
      <c r="Y196" t="s">
        <v>4213</v>
      </c>
      <c r="Z196" t="s">
        <v>4391</v>
      </c>
      <c r="AA196" t="s">
        <v>5519</v>
      </c>
      <c r="AB196" t="s">
        <v>5791</v>
      </c>
      <c r="AC196">
        <v>3</v>
      </c>
      <c r="AD196" t="s">
        <v>6771</v>
      </c>
      <c r="AF196">
        <v>0</v>
      </c>
      <c r="AG196">
        <v>3</v>
      </c>
      <c r="AH196">
        <v>2</v>
      </c>
      <c r="AI196">
        <v>30.16</v>
      </c>
      <c r="AL196" t="s">
        <v>6801</v>
      </c>
      <c r="AM196">
        <v>9100</v>
      </c>
    </row>
    <row r="197" spans="1:44">
      <c r="A197" s="1">
        <f>HYPERLINK("https://lsnyc.legalserver.org/matter/dynamic-profile/view/1913793","19-1913793")</f>
        <v>0</v>
      </c>
      <c r="B197" t="s">
        <v>57</v>
      </c>
      <c r="C197" t="s">
        <v>199</v>
      </c>
      <c r="E197" t="s">
        <v>548</v>
      </c>
      <c r="F197" t="s">
        <v>1418</v>
      </c>
      <c r="G197" t="s">
        <v>2329</v>
      </c>
      <c r="H197">
        <v>1</v>
      </c>
      <c r="I197" t="s">
        <v>3490</v>
      </c>
      <c r="J197">
        <v>11207</v>
      </c>
      <c r="K197" t="s">
        <v>3522</v>
      </c>
      <c r="L197" t="s">
        <v>3525</v>
      </c>
      <c r="M197" t="s">
        <v>3626</v>
      </c>
      <c r="N197" t="s">
        <v>4118</v>
      </c>
      <c r="Q197" t="s">
        <v>4147</v>
      </c>
      <c r="R197" t="s">
        <v>3523</v>
      </c>
      <c r="T197" t="s">
        <v>4158</v>
      </c>
      <c r="U197" t="s">
        <v>4168</v>
      </c>
      <c r="V197" t="s">
        <v>204</v>
      </c>
      <c r="W197">
        <v>2000</v>
      </c>
      <c r="X197" t="s">
        <v>4193</v>
      </c>
      <c r="Z197" t="s">
        <v>4391</v>
      </c>
      <c r="AA197" t="s">
        <v>5519</v>
      </c>
      <c r="AB197" t="s">
        <v>5791</v>
      </c>
      <c r="AC197">
        <v>3</v>
      </c>
      <c r="AD197" t="s">
        <v>6771</v>
      </c>
      <c r="AF197">
        <v>0</v>
      </c>
      <c r="AG197">
        <v>3</v>
      </c>
      <c r="AH197">
        <v>2</v>
      </c>
      <c r="AI197">
        <v>30.16</v>
      </c>
      <c r="AL197" t="s">
        <v>6801</v>
      </c>
      <c r="AM197">
        <v>9100</v>
      </c>
      <c r="AN197" t="s">
        <v>6829</v>
      </c>
    </row>
    <row r="198" spans="1:44">
      <c r="A198" s="1">
        <f>HYPERLINK("https://lsnyc.legalserver.org/matter/dynamic-profile/view/1908713","19-1908713")</f>
        <v>0</v>
      </c>
      <c r="B198" t="s">
        <v>46</v>
      </c>
      <c r="C198" t="s">
        <v>205</v>
      </c>
      <c r="E198" t="s">
        <v>549</v>
      </c>
      <c r="F198" t="s">
        <v>1281</v>
      </c>
      <c r="G198" t="s">
        <v>2330</v>
      </c>
      <c r="H198" t="s">
        <v>3149</v>
      </c>
      <c r="I198" t="s">
        <v>3486</v>
      </c>
      <c r="J198">
        <v>11377</v>
      </c>
      <c r="K198" t="s">
        <v>3522</v>
      </c>
      <c r="L198" t="s">
        <v>3527</v>
      </c>
      <c r="M198" t="s">
        <v>3627</v>
      </c>
      <c r="N198" t="s">
        <v>4107</v>
      </c>
      <c r="O198" t="s">
        <v>4132</v>
      </c>
      <c r="Q198" t="s">
        <v>4148</v>
      </c>
      <c r="R198" t="s">
        <v>3523</v>
      </c>
      <c r="T198" t="s">
        <v>4156</v>
      </c>
      <c r="U198" t="s">
        <v>4168</v>
      </c>
      <c r="V198" t="s">
        <v>4179</v>
      </c>
      <c r="W198">
        <v>720</v>
      </c>
      <c r="X198" t="s">
        <v>4192</v>
      </c>
      <c r="Y198" t="s">
        <v>4199</v>
      </c>
      <c r="Z198" t="s">
        <v>4392</v>
      </c>
      <c r="AA198" t="s">
        <v>5520</v>
      </c>
      <c r="AC198">
        <v>6</v>
      </c>
      <c r="AD198" t="s">
        <v>6772</v>
      </c>
      <c r="AF198">
        <v>9</v>
      </c>
      <c r="AG198">
        <v>1</v>
      </c>
      <c r="AH198">
        <v>3</v>
      </c>
      <c r="AI198">
        <v>30.29</v>
      </c>
      <c r="AJ198" t="s">
        <v>6795</v>
      </c>
      <c r="AK198" t="s">
        <v>6798</v>
      </c>
      <c r="AL198" t="s">
        <v>6802</v>
      </c>
      <c r="AM198">
        <v>7800</v>
      </c>
    </row>
    <row r="199" spans="1:44">
      <c r="A199" s="1">
        <f>HYPERLINK("https://lsnyc.legalserver.org/matter/dynamic-profile/view/1915938","19-1915938")</f>
        <v>0</v>
      </c>
      <c r="B199" t="s">
        <v>44</v>
      </c>
      <c r="C199" t="s">
        <v>220</v>
      </c>
      <c r="E199" t="s">
        <v>550</v>
      </c>
      <c r="F199" t="s">
        <v>1419</v>
      </c>
      <c r="G199" t="s">
        <v>2331</v>
      </c>
      <c r="I199" t="s">
        <v>3479</v>
      </c>
      <c r="J199">
        <v>11691</v>
      </c>
      <c r="K199" t="s">
        <v>3522</v>
      </c>
      <c r="L199" t="s">
        <v>3525</v>
      </c>
      <c r="M199" t="s">
        <v>3628</v>
      </c>
      <c r="N199" t="s">
        <v>4109</v>
      </c>
      <c r="O199" t="s">
        <v>4134</v>
      </c>
      <c r="Q199" t="s">
        <v>4147</v>
      </c>
      <c r="R199" t="s">
        <v>3523</v>
      </c>
      <c r="T199" t="s">
        <v>4156</v>
      </c>
      <c r="U199" t="s">
        <v>4167</v>
      </c>
      <c r="V199" t="s">
        <v>220</v>
      </c>
      <c r="W199">
        <v>2100</v>
      </c>
      <c r="X199" t="s">
        <v>4192</v>
      </c>
      <c r="Y199" t="s">
        <v>4197</v>
      </c>
      <c r="Z199" t="s">
        <v>4393</v>
      </c>
      <c r="AA199" t="s">
        <v>5521</v>
      </c>
      <c r="AB199" t="s">
        <v>5792</v>
      </c>
      <c r="AC199">
        <v>2</v>
      </c>
      <c r="AD199" t="s">
        <v>6771</v>
      </c>
      <c r="AE199" t="s">
        <v>3526</v>
      </c>
      <c r="AF199">
        <v>2</v>
      </c>
      <c r="AG199">
        <v>1</v>
      </c>
      <c r="AH199">
        <v>4</v>
      </c>
      <c r="AI199">
        <v>30.67</v>
      </c>
      <c r="AL199" t="s">
        <v>6801</v>
      </c>
      <c r="AM199">
        <v>9252</v>
      </c>
      <c r="AO199" t="s">
        <v>6916</v>
      </c>
      <c r="AP199" t="s">
        <v>6924</v>
      </c>
      <c r="AQ199" t="s">
        <v>6945</v>
      </c>
      <c r="AR199" t="s">
        <v>6960</v>
      </c>
    </row>
    <row r="200" spans="1:44">
      <c r="A200" s="1">
        <f>HYPERLINK("https://lsnyc.legalserver.org/matter/dynamic-profile/view/1914584","19-1914584")</f>
        <v>0</v>
      </c>
      <c r="B200" t="s">
        <v>91</v>
      </c>
      <c r="C200" t="s">
        <v>269</v>
      </c>
      <c r="E200" t="s">
        <v>551</v>
      </c>
      <c r="F200" t="s">
        <v>1420</v>
      </c>
      <c r="G200" t="s">
        <v>2332</v>
      </c>
      <c r="H200">
        <v>602</v>
      </c>
      <c r="I200" t="s">
        <v>3495</v>
      </c>
      <c r="J200">
        <v>10029</v>
      </c>
      <c r="K200" t="s">
        <v>3522</v>
      </c>
      <c r="L200" t="s">
        <v>3525</v>
      </c>
      <c r="N200" t="s">
        <v>4108</v>
      </c>
      <c r="O200" t="s">
        <v>4136</v>
      </c>
      <c r="Q200" t="s">
        <v>4147</v>
      </c>
      <c r="R200" t="s">
        <v>3522</v>
      </c>
      <c r="T200" t="s">
        <v>4156</v>
      </c>
      <c r="U200" t="s">
        <v>4168</v>
      </c>
      <c r="V200" t="s">
        <v>245</v>
      </c>
      <c r="W200">
        <v>309</v>
      </c>
      <c r="X200" t="s">
        <v>4196</v>
      </c>
      <c r="Y200" t="s">
        <v>4198</v>
      </c>
      <c r="Z200" t="s">
        <v>4394</v>
      </c>
      <c r="AB200" t="s">
        <v>5793</v>
      </c>
      <c r="AC200">
        <v>135</v>
      </c>
      <c r="AD200" t="s">
        <v>6780</v>
      </c>
      <c r="AE200" t="s">
        <v>3526</v>
      </c>
      <c r="AF200">
        <v>7</v>
      </c>
      <c r="AG200">
        <v>1</v>
      </c>
      <c r="AH200">
        <v>0</v>
      </c>
      <c r="AI200">
        <v>30.74</v>
      </c>
      <c r="AL200" t="s">
        <v>6802</v>
      </c>
      <c r="AM200">
        <v>3840</v>
      </c>
    </row>
    <row r="201" spans="1:44">
      <c r="A201" s="1">
        <f>HYPERLINK("https://lsnyc.legalserver.org/matter/dynamic-profile/view/1913901","19-1913901")</f>
        <v>0</v>
      </c>
      <c r="B201" t="s">
        <v>96</v>
      </c>
      <c r="C201" t="s">
        <v>199</v>
      </c>
      <c r="D201" t="s">
        <v>240</v>
      </c>
      <c r="E201" t="s">
        <v>552</v>
      </c>
      <c r="F201" t="s">
        <v>1379</v>
      </c>
      <c r="G201" t="s">
        <v>2333</v>
      </c>
      <c r="H201" t="s">
        <v>3154</v>
      </c>
      <c r="I201" t="s">
        <v>3493</v>
      </c>
      <c r="J201">
        <v>10471</v>
      </c>
      <c r="K201" t="s">
        <v>3522</v>
      </c>
      <c r="N201" t="s">
        <v>4109</v>
      </c>
      <c r="O201" t="s">
        <v>4132</v>
      </c>
      <c r="P201" t="s">
        <v>4139</v>
      </c>
      <c r="Q201" t="s">
        <v>4147</v>
      </c>
      <c r="R201" t="s">
        <v>3523</v>
      </c>
      <c r="T201" t="s">
        <v>4156</v>
      </c>
      <c r="V201" t="s">
        <v>191</v>
      </c>
      <c r="W201">
        <v>987</v>
      </c>
      <c r="X201" t="s">
        <v>4194</v>
      </c>
      <c r="Y201" t="s">
        <v>4206</v>
      </c>
      <c r="Z201" t="s">
        <v>4395</v>
      </c>
      <c r="AB201" t="s">
        <v>5794</v>
      </c>
      <c r="AC201">
        <v>3</v>
      </c>
      <c r="AD201" t="s">
        <v>6771</v>
      </c>
      <c r="AE201" t="s">
        <v>6786</v>
      </c>
      <c r="AF201">
        <v>5</v>
      </c>
      <c r="AG201">
        <v>1</v>
      </c>
      <c r="AH201">
        <v>1</v>
      </c>
      <c r="AI201">
        <v>30.75</v>
      </c>
      <c r="AL201" t="s">
        <v>6801</v>
      </c>
      <c r="AM201">
        <v>5200</v>
      </c>
    </row>
    <row r="202" spans="1:44">
      <c r="A202" s="1">
        <f>HYPERLINK("https://lsnyc.legalserver.org/matter/dynamic-profile/view/1911085","19-1911085")</f>
        <v>0</v>
      </c>
      <c r="B202" t="s">
        <v>55</v>
      </c>
      <c r="C202" t="s">
        <v>270</v>
      </c>
      <c r="E202" t="s">
        <v>553</v>
      </c>
      <c r="F202" t="s">
        <v>1268</v>
      </c>
      <c r="G202" t="s">
        <v>2334</v>
      </c>
      <c r="I202" t="s">
        <v>3490</v>
      </c>
      <c r="J202">
        <v>11213</v>
      </c>
      <c r="K202" t="s">
        <v>3522</v>
      </c>
      <c r="L202" t="s">
        <v>3525</v>
      </c>
      <c r="M202" t="s">
        <v>3629</v>
      </c>
      <c r="N202" t="s">
        <v>4109</v>
      </c>
      <c r="O202" t="s">
        <v>4134</v>
      </c>
      <c r="Q202" t="s">
        <v>4147</v>
      </c>
      <c r="R202" t="s">
        <v>3523</v>
      </c>
      <c r="T202" t="s">
        <v>4156</v>
      </c>
      <c r="U202" t="s">
        <v>4168</v>
      </c>
      <c r="V202" t="s">
        <v>251</v>
      </c>
      <c r="W202">
        <v>1350</v>
      </c>
      <c r="X202" t="s">
        <v>4193</v>
      </c>
      <c r="Y202" t="s">
        <v>4198</v>
      </c>
      <c r="Z202" t="s">
        <v>4395</v>
      </c>
      <c r="AA202" t="s">
        <v>5522</v>
      </c>
      <c r="AB202" t="s">
        <v>5795</v>
      </c>
      <c r="AC202">
        <v>35</v>
      </c>
      <c r="AD202" t="s">
        <v>6772</v>
      </c>
      <c r="AE202" t="s">
        <v>6787</v>
      </c>
      <c r="AF202">
        <v>2</v>
      </c>
      <c r="AG202">
        <v>2</v>
      </c>
      <c r="AH202">
        <v>0</v>
      </c>
      <c r="AI202">
        <v>30.87</v>
      </c>
      <c r="AL202" t="s">
        <v>6801</v>
      </c>
      <c r="AM202">
        <v>5220</v>
      </c>
    </row>
    <row r="203" spans="1:44">
      <c r="A203" s="1">
        <f>HYPERLINK("https://lsnyc.legalserver.org/matter/dynamic-profile/view/1914121","19-1914121")</f>
        <v>0</v>
      </c>
      <c r="B203" t="s">
        <v>57</v>
      </c>
      <c r="C203" t="s">
        <v>191</v>
      </c>
      <c r="E203" t="s">
        <v>553</v>
      </c>
      <c r="F203" t="s">
        <v>1268</v>
      </c>
      <c r="G203" t="s">
        <v>2334</v>
      </c>
      <c r="H203" t="s">
        <v>3157</v>
      </c>
      <c r="I203" t="s">
        <v>3490</v>
      </c>
      <c r="J203">
        <v>11213</v>
      </c>
      <c r="K203" t="s">
        <v>3522</v>
      </c>
      <c r="L203" t="s">
        <v>3525</v>
      </c>
      <c r="M203" t="s">
        <v>3629</v>
      </c>
      <c r="N203" t="s">
        <v>4118</v>
      </c>
      <c r="Q203" t="s">
        <v>4147</v>
      </c>
      <c r="R203" t="s">
        <v>3523</v>
      </c>
      <c r="T203" t="s">
        <v>4158</v>
      </c>
      <c r="U203" t="s">
        <v>4168</v>
      </c>
      <c r="V203" t="s">
        <v>301</v>
      </c>
      <c r="W203">
        <v>1350</v>
      </c>
      <c r="X203" t="s">
        <v>4193</v>
      </c>
      <c r="Y203" t="s">
        <v>4198</v>
      </c>
      <c r="Z203" t="s">
        <v>4395</v>
      </c>
      <c r="AA203" t="s">
        <v>5522</v>
      </c>
      <c r="AB203" t="s">
        <v>5795</v>
      </c>
      <c r="AC203">
        <v>35</v>
      </c>
      <c r="AD203" t="s">
        <v>6772</v>
      </c>
      <c r="AE203" t="s">
        <v>6787</v>
      </c>
      <c r="AF203">
        <v>2</v>
      </c>
      <c r="AG203">
        <v>2</v>
      </c>
      <c r="AH203">
        <v>0</v>
      </c>
      <c r="AI203">
        <v>30.87</v>
      </c>
      <c r="AL203" t="s">
        <v>6801</v>
      </c>
      <c r="AM203">
        <v>5220</v>
      </c>
      <c r="AN203" t="s">
        <v>6830</v>
      </c>
    </row>
    <row r="204" spans="1:44">
      <c r="A204" s="1">
        <f>HYPERLINK("https://lsnyc.legalserver.org/matter/dynamic-profile/view/1908272","19-1908272")</f>
        <v>0</v>
      </c>
      <c r="B204" t="s">
        <v>59</v>
      </c>
      <c r="C204" t="s">
        <v>211</v>
      </c>
      <c r="E204" t="s">
        <v>554</v>
      </c>
      <c r="F204" t="s">
        <v>1421</v>
      </c>
      <c r="G204" t="s">
        <v>2335</v>
      </c>
      <c r="H204">
        <v>5</v>
      </c>
      <c r="I204" t="s">
        <v>3490</v>
      </c>
      <c r="J204">
        <v>11233</v>
      </c>
      <c r="K204" t="s">
        <v>3522</v>
      </c>
      <c r="L204" t="s">
        <v>3525</v>
      </c>
      <c r="N204" t="s">
        <v>4108</v>
      </c>
      <c r="O204" t="s">
        <v>4134</v>
      </c>
      <c r="Q204" t="s">
        <v>4147</v>
      </c>
      <c r="R204" t="s">
        <v>3523</v>
      </c>
      <c r="T204" t="s">
        <v>4156</v>
      </c>
      <c r="U204" t="s">
        <v>4168</v>
      </c>
      <c r="V204" t="s">
        <v>198</v>
      </c>
      <c r="W204">
        <v>1550</v>
      </c>
      <c r="X204" t="s">
        <v>4193</v>
      </c>
      <c r="Y204" t="s">
        <v>4200</v>
      </c>
      <c r="Z204" t="s">
        <v>4396</v>
      </c>
      <c r="AA204" t="s">
        <v>5505</v>
      </c>
      <c r="AB204" t="s">
        <v>5796</v>
      </c>
      <c r="AC204">
        <v>12</v>
      </c>
      <c r="AD204" t="s">
        <v>6772</v>
      </c>
      <c r="AE204" t="s">
        <v>6790</v>
      </c>
      <c r="AF204">
        <v>4</v>
      </c>
      <c r="AG204">
        <v>1</v>
      </c>
      <c r="AH204">
        <v>0</v>
      </c>
      <c r="AI204">
        <v>31.22</v>
      </c>
      <c r="AL204" t="s">
        <v>6801</v>
      </c>
      <c r="AM204">
        <v>3900</v>
      </c>
    </row>
    <row r="205" spans="1:44">
      <c r="A205" s="1">
        <f>HYPERLINK("https://lsnyc.legalserver.org/matter/dynamic-profile/view/1908269","19-1908269")</f>
        <v>0</v>
      </c>
      <c r="B205" t="s">
        <v>59</v>
      </c>
      <c r="C205" t="s">
        <v>211</v>
      </c>
      <c r="E205" t="s">
        <v>554</v>
      </c>
      <c r="F205" t="s">
        <v>1421</v>
      </c>
      <c r="G205" t="s">
        <v>2335</v>
      </c>
      <c r="H205">
        <v>5</v>
      </c>
      <c r="I205" t="s">
        <v>3490</v>
      </c>
      <c r="J205">
        <v>11233</v>
      </c>
      <c r="K205" t="s">
        <v>3522</v>
      </c>
      <c r="L205" t="s">
        <v>3525</v>
      </c>
      <c r="M205" t="s">
        <v>3562</v>
      </c>
      <c r="N205" t="s">
        <v>4112</v>
      </c>
      <c r="O205" t="s">
        <v>4135</v>
      </c>
      <c r="Q205" t="s">
        <v>4147</v>
      </c>
      <c r="R205" t="s">
        <v>3523</v>
      </c>
      <c r="T205" t="s">
        <v>4156</v>
      </c>
      <c r="U205" t="s">
        <v>4168</v>
      </c>
      <c r="V205" t="s">
        <v>373</v>
      </c>
      <c r="W205">
        <v>1550</v>
      </c>
      <c r="X205" t="s">
        <v>4193</v>
      </c>
      <c r="Y205" t="s">
        <v>4200</v>
      </c>
      <c r="Z205" t="s">
        <v>4396</v>
      </c>
      <c r="AA205" t="s">
        <v>5499</v>
      </c>
      <c r="AB205" t="s">
        <v>5796</v>
      </c>
      <c r="AC205">
        <v>12</v>
      </c>
      <c r="AD205" t="s">
        <v>6772</v>
      </c>
      <c r="AE205" t="s">
        <v>6790</v>
      </c>
      <c r="AF205">
        <v>4</v>
      </c>
      <c r="AG205">
        <v>1</v>
      </c>
      <c r="AH205">
        <v>0</v>
      </c>
      <c r="AI205">
        <v>31.22</v>
      </c>
      <c r="AL205" t="s">
        <v>6801</v>
      </c>
      <c r="AM205">
        <v>3900</v>
      </c>
    </row>
    <row r="206" spans="1:44">
      <c r="A206" s="1">
        <f>HYPERLINK("https://lsnyc.legalserver.org/matter/dynamic-profile/view/1914271","19-1914271")</f>
        <v>0</v>
      </c>
      <c r="B206" t="s">
        <v>58</v>
      </c>
      <c r="C206" t="s">
        <v>245</v>
      </c>
      <c r="E206" t="s">
        <v>555</v>
      </c>
      <c r="F206" t="s">
        <v>1422</v>
      </c>
      <c r="G206" t="s">
        <v>2336</v>
      </c>
      <c r="H206" t="s">
        <v>3135</v>
      </c>
      <c r="I206" t="s">
        <v>3490</v>
      </c>
      <c r="J206">
        <v>11212</v>
      </c>
      <c r="K206" t="s">
        <v>3522</v>
      </c>
      <c r="L206" t="s">
        <v>3525</v>
      </c>
      <c r="M206" t="s">
        <v>3554</v>
      </c>
      <c r="O206" t="s">
        <v>4136</v>
      </c>
      <c r="Q206" t="s">
        <v>4147</v>
      </c>
      <c r="R206" t="s">
        <v>3522</v>
      </c>
      <c r="T206" t="s">
        <v>4156</v>
      </c>
      <c r="V206" t="s">
        <v>245</v>
      </c>
      <c r="W206">
        <v>281</v>
      </c>
      <c r="X206" t="s">
        <v>4193</v>
      </c>
      <c r="Y206" t="s">
        <v>4206</v>
      </c>
      <c r="Z206" t="s">
        <v>4397</v>
      </c>
      <c r="AB206" t="s">
        <v>5797</v>
      </c>
      <c r="AC206">
        <v>19</v>
      </c>
      <c r="AD206" t="s">
        <v>6772</v>
      </c>
      <c r="AE206" t="s">
        <v>6786</v>
      </c>
      <c r="AF206">
        <v>21</v>
      </c>
      <c r="AG206">
        <v>3</v>
      </c>
      <c r="AH206">
        <v>2</v>
      </c>
      <c r="AI206">
        <v>31.58</v>
      </c>
      <c r="AL206" t="s">
        <v>6801</v>
      </c>
      <c r="AM206">
        <v>9528</v>
      </c>
    </row>
    <row r="207" spans="1:44">
      <c r="A207" s="1">
        <f>HYPERLINK("https://lsnyc.legalserver.org/matter/dynamic-profile/view/0831293","17-0831293")</f>
        <v>0</v>
      </c>
      <c r="B207" t="s">
        <v>112</v>
      </c>
      <c r="C207" t="s">
        <v>271</v>
      </c>
      <c r="D207" t="s">
        <v>217</v>
      </c>
      <c r="E207" t="s">
        <v>556</v>
      </c>
      <c r="F207" t="s">
        <v>1423</v>
      </c>
      <c r="G207" t="s">
        <v>2337</v>
      </c>
      <c r="H207">
        <v>14</v>
      </c>
      <c r="I207" t="s">
        <v>3490</v>
      </c>
      <c r="J207">
        <v>11219</v>
      </c>
      <c r="K207" t="s">
        <v>3522</v>
      </c>
      <c r="L207" t="s">
        <v>3525</v>
      </c>
      <c r="M207" t="s">
        <v>3630</v>
      </c>
      <c r="N207" t="s">
        <v>4109</v>
      </c>
      <c r="O207" t="s">
        <v>4135</v>
      </c>
      <c r="P207" t="s">
        <v>4139</v>
      </c>
      <c r="Q207" t="s">
        <v>4147</v>
      </c>
      <c r="R207" t="s">
        <v>3523</v>
      </c>
      <c r="S207" t="s">
        <v>4150</v>
      </c>
      <c r="T207" t="s">
        <v>4156</v>
      </c>
      <c r="U207" t="s">
        <v>4170</v>
      </c>
      <c r="V207" t="s">
        <v>336</v>
      </c>
      <c r="W207">
        <v>1065</v>
      </c>
      <c r="X207" t="s">
        <v>4193</v>
      </c>
      <c r="Y207" t="s">
        <v>4202</v>
      </c>
      <c r="Z207" t="s">
        <v>4398</v>
      </c>
      <c r="AB207" t="s">
        <v>5798</v>
      </c>
      <c r="AC207">
        <v>14</v>
      </c>
      <c r="AD207" t="s">
        <v>6772</v>
      </c>
      <c r="AE207" t="s">
        <v>3526</v>
      </c>
      <c r="AF207">
        <v>12</v>
      </c>
      <c r="AG207">
        <v>3</v>
      </c>
      <c r="AH207">
        <v>0</v>
      </c>
      <c r="AI207">
        <v>32.32</v>
      </c>
      <c r="AL207" t="s">
        <v>6808</v>
      </c>
      <c r="AM207">
        <v>6600</v>
      </c>
      <c r="AQ207" t="s">
        <v>6945</v>
      </c>
      <c r="AR207" t="s">
        <v>6961</v>
      </c>
    </row>
    <row r="208" spans="1:44">
      <c r="A208" s="1">
        <f>HYPERLINK("https://lsnyc.legalserver.org/matter/dynamic-profile/view/1912574","19-1912574")</f>
        <v>0</v>
      </c>
      <c r="B208" t="s">
        <v>57</v>
      </c>
      <c r="C208" t="s">
        <v>178</v>
      </c>
      <c r="D208" t="s">
        <v>265</v>
      </c>
      <c r="E208" t="s">
        <v>557</v>
      </c>
      <c r="F208" t="s">
        <v>1407</v>
      </c>
      <c r="G208" t="s">
        <v>2338</v>
      </c>
      <c r="H208">
        <v>2</v>
      </c>
      <c r="I208" t="s">
        <v>3490</v>
      </c>
      <c r="J208">
        <v>11212</v>
      </c>
      <c r="K208" t="s">
        <v>3522</v>
      </c>
      <c r="L208" t="s">
        <v>3525</v>
      </c>
      <c r="M208" t="s">
        <v>3554</v>
      </c>
      <c r="N208" t="s">
        <v>3554</v>
      </c>
      <c r="O208" t="s">
        <v>4132</v>
      </c>
      <c r="P208" t="s">
        <v>4139</v>
      </c>
      <c r="Q208" t="s">
        <v>4147</v>
      </c>
      <c r="R208" t="s">
        <v>3523</v>
      </c>
      <c r="S208" t="s">
        <v>4147</v>
      </c>
      <c r="T208" t="s">
        <v>4158</v>
      </c>
      <c r="V208" t="s">
        <v>186</v>
      </c>
      <c r="W208">
        <v>579</v>
      </c>
      <c r="X208" t="s">
        <v>4193</v>
      </c>
      <c r="Y208" t="s">
        <v>4210</v>
      </c>
      <c r="Z208" t="s">
        <v>4399</v>
      </c>
      <c r="AB208" t="s">
        <v>5799</v>
      </c>
      <c r="AC208">
        <v>4</v>
      </c>
      <c r="AD208" t="s">
        <v>6778</v>
      </c>
      <c r="AF208">
        <v>4</v>
      </c>
      <c r="AG208">
        <v>2</v>
      </c>
      <c r="AH208">
        <v>3</v>
      </c>
      <c r="AI208">
        <v>33.15</v>
      </c>
      <c r="AL208" t="s">
        <v>6801</v>
      </c>
      <c r="AM208">
        <v>10000</v>
      </c>
    </row>
    <row r="209" spans="1:44">
      <c r="A209" s="1">
        <f>HYPERLINK("https://lsnyc.legalserver.org/matter/dynamic-profile/view/1910500","19-1910500")</f>
        <v>0</v>
      </c>
      <c r="B209" t="s">
        <v>113</v>
      </c>
      <c r="C209" t="s">
        <v>214</v>
      </c>
      <c r="E209" t="s">
        <v>558</v>
      </c>
      <c r="F209" t="s">
        <v>1424</v>
      </c>
      <c r="G209" t="s">
        <v>2339</v>
      </c>
      <c r="H209" t="s">
        <v>3210</v>
      </c>
      <c r="I209" t="s">
        <v>3501</v>
      </c>
      <c r="J209">
        <v>11101</v>
      </c>
      <c r="K209" t="s">
        <v>3522</v>
      </c>
      <c r="L209" t="s">
        <v>3525</v>
      </c>
      <c r="M209" t="s">
        <v>3631</v>
      </c>
      <c r="N209" t="s">
        <v>4122</v>
      </c>
      <c r="O209" t="s">
        <v>4132</v>
      </c>
      <c r="Q209" t="s">
        <v>4147</v>
      </c>
      <c r="R209" t="s">
        <v>3523</v>
      </c>
      <c r="T209" t="s">
        <v>4156</v>
      </c>
      <c r="U209" t="s">
        <v>4168</v>
      </c>
      <c r="V209" t="s">
        <v>4174</v>
      </c>
      <c r="W209">
        <v>281</v>
      </c>
      <c r="X209" t="s">
        <v>4192</v>
      </c>
      <c r="Y209" t="s">
        <v>4197</v>
      </c>
      <c r="Z209" t="s">
        <v>4400</v>
      </c>
      <c r="AA209" t="s">
        <v>5482</v>
      </c>
      <c r="AB209" t="s">
        <v>5800</v>
      </c>
      <c r="AC209">
        <v>50</v>
      </c>
      <c r="AD209" t="s">
        <v>6771</v>
      </c>
      <c r="AE209" t="s">
        <v>3526</v>
      </c>
      <c r="AF209">
        <v>-1</v>
      </c>
      <c r="AG209">
        <v>1</v>
      </c>
      <c r="AH209">
        <v>0</v>
      </c>
      <c r="AI209">
        <v>33.31</v>
      </c>
      <c r="AL209" t="s">
        <v>6801</v>
      </c>
      <c r="AM209">
        <v>4160</v>
      </c>
    </row>
    <row r="210" spans="1:44">
      <c r="A210" s="1">
        <f>HYPERLINK("https://lsnyc.legalserver.org/matter/dynamic-profile/view/1905867","19-1905867")</f>
        <v>0</v>
      </c>
      <c r="B210" t="s">
        <v>58</v>
      </c>
      <c r="C210" t="s">
        <v>228</v>
      </c>
      <c r="E210" t="s">
        <v>514</v>
      </c>
      <c r="F210" t="s">
        <v>1425</v>
      </c>
      <c r="G210" t="s">
        <v>2340</v>
      </c>
      <c r="H210" t="s">
        <v>3205</v>
      </c>
      <c r="I210" t="s">
        <v>3490</v>
      </c>
      <c r="J210">
        <v>11215</v>
      </c>
      <c r="K210" t="s">
        <v>3522</v>
      </c>
      <c r="L210" t="s">
        <v>3525</v>
      </c>
      <c r="M210" t="s">
        <v>3562</v>
      </c>
      <c r="N210" t="s">
        <v>4110</v>
      </c>
      <c r="O210" t="s">
        <v>4137</v>
      </c>
      <c r="Q210" t="s">
        <v>4147</v>
      </c>
      <c r="R210" t="s">
        <v>3522</v>
      </c>
      <c r="T210" t="s">
        <v>4156</v>
      </c>
      <c r="U210" t="s">
        <v>4168</v>
      </c>
      <c r="V210" t="s">
        <v>206</v>
      </c>
      <c r="W210">
        <v>165</v>
      </c>
      <c r="X210" t="s">
        <v>4193</v>
      </c>
      <c r="Y210" t="s">
        <v>4201</v>
      </c>
      <c r="Z210" t="s">
        <v>4401</v>
      </c>
      <c r="AA210" t="s">
        <v>3562</v>
      </c>
      <c r="AB210" t="s">
        <v>5801</v>
      </c>
      <c r="AC210">
        <v>7</v>
      </c>
      <c r="AD210" t="s">
        <v>6780</v>
      </c>
      <c r="AE210" t="s">
        <v>3526</v>
      </c>
      <c r="AF210">
        <v>22</v>
      </c>
      <c r="AG210">
        <v>3</v>
      </c>
      <c r="AH210">
        <v>2</v>
      </c>
      <c r="AI210">
        <v>33.48</v>
      </c>
      <c r="AL210" t="s">
        <v>6801</v>
      </c>
      <c r="AM210">
        <v>10100</v>
      </c>
    </row>
    <row r="211" spans="1:44">
      <c r="A211" s="1">
        <f>HYPERLINK("https://lsnyc.legalserver.org/matter/dynamic-profile/view/1904889","19-1904889")</f>
        <v>0</v>
      </c>
      <c r="B211" t="s">
        <v>108</v>
      </c>
      <c r="C211" t="s">
        <v>272</v>
      </c>
      <c r="E211" t="s">
        <v>559</v>
      </c>
      <c r="F211" t="s">
        <v>1426</v>
      </c>
      <c r="G211" t="s">
        <v>2341</v>
      </c>
      <c r="H211" t="s">
        <v>3125</v>
      </c>
      <c r="I211" t="s">
        <v>3479</v>
      </c>
      <c r="J211">
        <v>11691</v>
      </c>
      <c r="K211" t="s">
        <v>3522</v>
      </c>
      <c r="L211" t="s">
        <v>3525</v>
      </c>
      <c r="M211" t="s">
        <v>3632</v>
      </c>
      <c r="N211" t="s">
        <v>4107</v>
      </c>
      <c r="O211" t="s">
        <v>4134</v>
      </c>
      <c r="Q211" t="s">
        <v>4147</v>
      </c>
      <c r="R211" t="s">
        <v>3523</v>
      </c>
      <c r="T211" t="s">
        <v>4156</v>
      </c>
      <c r="U211" t="s">
        <v>4169</v>
      </c>
      <c r="V211" t="s">
        <v>272</v>
      </c>
      <c r="W211">
        <v>592</v>
      </c>
      <c r="X211" t="s">
        <v>4192</v>
      </c>
      <c r="Y211" t="s">
        <v>4201</v>
      </c>
      <c r="Z211" t="s">
        <v>4402</v>
      </c>
      <c r="AB211" t="s">
        <v>5802</v>
      </c>
      <c r="AC211">
        <v>462</v>
      </c>
      <c r="AD211" t="s">
        <v>6775</v>
      </c>
      <c r="AE211" t="s">
        <v>3526</v>
      </c>
      <c r="AF211">
        <v>10</v>
      </c>
      <c r="AG211">
        <v>1</v>
      </c>
      <c r="AH211">
        <v>0</v>
      </c>
      <c r="AI211">
        <v>33.63</v>
      </c>
      <c r="AL211" t="s">
        <v>6801</v>
      </c>
      <c r="AM211">
        <v>4200</v>
      </c>
      <c r="AP211" t="s">
        <v>4200</v>
      </c>
    </row>
    <row r="212" spans="1:44">
      <c r="A212" s="1">
        <f>HYPERLINK("https://lsnyc.legalserver.org/matter/dynamic-profile/view/1914564","19-1914564")</f>
        <v>0</v>
      </c>
      <c r="B212" t="s">
        <v>96</v>
      </c>
      <c r="C212" t="s">
        <v>273</v>
      </c>
      <c r="E212" t="s">
        <v>457</v>
      </c>
      <c r="F212" t="s">
        <v>1427</v>
      </c>
      <c r="G212" t="s">
        <v>2342</v>
      </c>
      <c r="H212" t="s">
        <v>3177</v>
      </c>
      <c r="I212" t="s">
        <v>3493</v>
      </c>
      <c r="J212">
        <v>10462</v>
      </c>
      <c r="K212" t="s">
        <v>3522</v>
      </c>
      <c r="L212" t="s">
        <v>3525</v>
      </c>
      <c r="N212" t="s">
        <v>4115</v>
      </c>
      <c r="O212" t="s">
        <v>4136</v>
      </c>
      <c r="Q212" t="s">
        <v>4147</v>
      </c>
      <c r="R212" t="s">
        <v>3522</v>
      </c>
      <c r="T212" t="s">
        <v>4156</v>
      </c>
      <c r="V212" t="s">
        <v>240</v>
      </c>
      <c r="W212">
        <v>1557</v>
      </c>
      <c r="X212" t="s">
        <v>4194</v>
      </c>
      <c r="Y212" t="s">
        <v>4207</v>
      </c>
      <c r="Z212" t="s">
        <v>4403</v>
      </c>
      <c r="AB212" t="s">
        <v>5803</v>
      </c>
      <c r="AC212">
        <v>98</v>
      </c>
      <c r="AD212" t="s">
        <v>6782</v>
      </c>
      <c r="AE212" t="s">
        <v>6787</v>
      </c>
      <c r="AF212">
        <v>1</v>
      </c>
      <c r="AG212">
        <v>1</v>
      </c>
      <c r="AH212">
        <v>2</v>
      </c>
      <c r="AI212">
        <v>33.64</v>
      </c>
      <c r="AL212" t="s">
        <v>6801</v>
      </c>
      <c r="AM212">
        <v>7176</v>
      </c>
    </row>
    <row r="213" spans="1:44">
      <c r="A213" s="1">
        <f>HYPERLINK("https://lsnyc.legalserver.org/matter/dynamic-profile/view/1904963","19-1904963")</f>
        <v>0</v>
      </c>
      <c r="B213" t="s">
        <v>44</v>
      </c>
      <c r="C213" t="s">
        <v>272</v>
      </c>
      <c r="E213" t="s">
        <v>520</v>
      </c>
      <c r="F213" t="s">
        <v>1265</v>
      </c>
      <c r="G213" t="s">
        <v>2343</v>
      </c>
      <c r="H213" t="s">
        <v>3132</v>
      </c>
      <c r="I213" t="s">
        <v>3503</v>
      </c>
      <c r="J213">
        <v>11411</v>
      </c>
      <c r="K213" t="s">
        <v>3522</v>
      </c>
      <c r="L213" t="s">
        <v>3525</v>
      </c>
      <c r="M213" t="s">
        <v>3633</v>
      </c>
      <c r="N213" t="s">
        <v>4107</v>
      </c>
      <c r="O213" t="s">
        <v>4134</v>
      </c>
      <c r="Q213" t="s">
        <v>4147</v>
      </c>
      <c r="R213" t="s">
        <v>3523</v>
      </c>
      <c r="T213" t="s">
        <v>4156</v>
      </c>
      <c r="U213" t="s">
        <v>4168</v>
      </c>
      <c r="V213" t="s">
        <v>285</v>
      </c>
      <c r="W213">
        <v>1122</v>
      </c>
      <c r="X213" t="s">
        <v>4192</v>
      </c>
      <c r="Y213" t="s">
        <v>4197</v>
      </c>
      <c r="Z213" t="s">
        <v>4404</v>
      </c>
      <c r="AA213" t="s">
        <v>3526</v>
      </c>
      <c r="AB213" t="s">
        <v>5804</v>
      </c>
      <c r="AC213">
        <v>2</v>
      </c>
      <c r="AD213" t="s">
        <v>6771</v>
      </c>
      <c r="AE213" t="s">
        <v>6786</v>
      </c>
      <c r="AF213">
        <v>10</v>
      </c>
      <c r="AG213">
        <v>2</v>
      </c>
      <c r="AH213">
        <v>1</v>
      </c>
      <c r="AI213">
        <v>33.76</v>
      </c>
      <c r="AL213" t="s">
        <v>6801</v>
      </c>
      <c r="AM213">
        <v>7200</v>
      </c>
      <c r="AO213" t="s">
        <v>6919</v>
      </c>
      <c r="AP213" t="s">
        <v>6924</v>
      </c>
      <c r="AQ213" t="s">
        <v>6945</v>
      </c>
      <c r="AR213" t="s">
        <v>6962</v>
      </c>
    </row>
    <row r="214" spans="1:44">
      <c r="A214" s="1">
        <f>HYPERLINK("https://lsnyc.legalserver.org/matter/dynamic-profile/view/1916228","19-1916228")</f>
        <v>0</v>
      </c>
      <c r="B214" t="s">
        <v>114</v>
      </c>
      <c r="C214" t="s">
        <v>208</v>
      </c>
      <c r="D214" t="s">
        <v>332</v>
      </c>
      <c r="E214" t="s">
        <v>402</v>
      </c>
      <c r="F214" t="s">
        <v>1428</v>
      </c>
      <c r="G214" t="s">
        <v>2344</v>
      </c>
      <c r="H214" t="s">
        <v>3211</v>
      </c>
      <c r="I214" t="s">
        <v>3495</v>
      </c>
      <c r="J214">
        <v>10034</v>
      </c>
      <c r="K214" t="s">
        <v>3522</v>
      </c>
      <c r="L214" t="s">
        <v>3525</v>
      </c>
      <c r="O214" t="s">
        <v>4136</v>
      </c>
      <c r="P214" t="s">
        <v>4139</v>
      </c>
      <c r="Q214" t="s">
        <v>4147</v>
      </c>
      <c r="R214" t="s">
        <v>3523</v>
      </c>
      <c r="T214" t="s">
        <v>4156</v>
      </c>
      <c r="V214" t="s">
        <v>208</v>
      </c>
      <c r="W214">
        <v>0</v>
      </c>
      <c r="X214" t="s">
        <v>4196</v>
      </c>
      <c r="Y214" t="s">
        <v>4198</v>
      </c>
      <c r="Z214" t="s">
        <v>4405</v>
      </c>
      <c r="AC214">
        <v>41</v>
      </c>
      <c r="AD214" t="s">
        <v>6772</v>
      </c>
      <c r="AE214" t="s">
        <v>3526</v>
      </c>
      <c r="AF214">
        <v>0</v>
      </c>
      <c r="AG214">
        <v>3</v>
      </c>
      <c r="AH214">
        <v>0</v>
      </c>
      <c r="AI214">
        <v>33.76</v>
      </c>
      <c r="AL214" t="s">
        <v>6802</v>
      </c>
      <c r="AM214">
        <v>7200</v>
      </c>
    </row>
    <row r="215" spans="1:44">
      <c r="A215" s="1">
        <f>HYPERLINK("https://lsnyc.legalserver.org/matter/dynamic-profile/view/1905740","19-1905740")</f>
        <v>0</v>
      </c>
      <c r="B215" t="s">
        <v>106</v>
      </c>
      <c r="C215" t="s">
        <v>206</v>
      </c>
      <c r="D215" t="s">
        <v>182</v>
      </c>
      <c r="E215" t="s">
        <v>560</v>
      </c>
      <c r="F215" t="s">
        <v>1323</v>
      </c>
      <c r="G215" t="s">
        <v>2345</v>
      </c>
      <c r="H215" t="s">
        <v>3175</v>
      </c>
      <c r="I215" t="s">
        <v>3493</v>
      </c>
      <c r="J215">
        <v>10453</v>
      </c>
      <c r="K215" t="s">
        <v>3522</v>
      </c>
      <c r="L215" t="s">
        <v>3527</v>
      </c>
      <c r="M215" t="s">
        <v>3634</v>
      </c>
      <c r="N215" t="s">
        <v>4109</v>
      </c>
      <c r="O215" t="s">
        <v>4134</v>
      </c>
      <c r="P215" t="s">
        <v>4140</v>
      </c>
      <c r="Q215" t="s">
        <v>4147</v>
      </c>
      <c r="R215" t="s">
        <v>3523</v>
      </c>
      <c r="T215" t="s">
        <v>4156</v>
      </c>
      <c r="U215" t="s">
        <v>4170</v>
      </c>
      <c r="V215" t="s">
        <v>287</v>
      </c>
      <c r="W215">
        <v>1250</v>
      </c>
      <c r="X215" t="s">
        <v>4194</v>
      </c>
      <c r="Y215" t="s">
        <v>4206</v>
      </c>
      <c r="Z215" t="s">
        <v>4406</v>
      </c>
      <c r="AA215" t="s">
        <v>5523</v>
      </c>
      <c r="AB215" t="s">
        <v>5805</v>
      </c>
      <c r="AC215">
        <v>50</v>
      </c>
      <c r="AD215" t="s">
        <v>6772</v>
      </c>
      <c r="AE215" t="s">
        <v>6787</v>
      </c>
      <c r="AF215">
        <v>2</v>
      </c>
      <c r="AG215">
        <v>1</v>
      </c>
      <c r="AH215">
        <v>0</v>
      </c>
      <c r="AI215">
        <v>33.82</v>
      </c>
      <c r="AL215" t="s">
        <v>6801</v>
      </c>
      <c r="AM215">
        <v>4224</v>
      </c>
    </row>
    <row r="216" spans="1:44">
      <c r="A216" s="1">
        <f>HYPERLINK("https://lsnyc.legalserver.org/matter/dynamic-profile/view/1912847","19-1912847")</f>
        <v>0</v>
      </c>
      <c r="B216" t="s">
        <v>73</v>
      </c>
      <c r="C216" t="s">
        <v>253</v>
      </c>
      <c r="E216" t="s">
        <v>561</v>
      </c>
      <c r="F216" t="s">
        <v>1429</v>
      </c>
      <c r="G216" t="s">
        <v>2346</v>
      </c>
      <c r="H216" t="s">
        <v>3212</v>
      </c>
      <c r="I216" t="s">
        <v>3493</v>
      </c>
      <c r="J216">
        <v>10452</v>
      </c>
      <c r="K216" t="s">
        <v>3522</v>
      </c>
      <c r="L216" t="s">
        <v>3525</v>
      </c>
      <c r="N216" t="s">
        <v>3554</v>
      </c>
      <c r="O216" t="s">
        <v>4136</v>
      </c>
      <c r="Q216" t="s">
        <v>4147</v>
      </c>
      <c r="R216" t="s">
        <v>3523</v>
      </c>
      <c r="T216" t="s">
        <v>4156</v>
      </c>
      <c r="V216" t="s">
        <v>192</v>
      </c>
      <c r="W216">
        <v>52</v>
      </c>
      <c r="X216" t="s">
        <v>4194</v>
      </c>
      <c r="Y216" t="s">
        <v>4206</v>
      </c>
      <c r="Z216" t="s">
        <v>4407</v>
      </c>
      <c r="AB216" t="s">
        <v>5806</v>
      </c>
      <c r="AC216">
        <v>147</v>
      </c>
      <c r="AD216" t="s">
        <v>6778</v>
      </c>
      <c r="AE216" t="s">
        <v>6786</v>
      </c>
      <c r="AF216">
        <v>25</v>
      </c>
      <c r="AG216">
        <v>1</v>
      </c>
      <c r="AH216">
        <v>0</v>
      </c>
      <c r="AI216">
        <v>34.11</v>
      </c>
      <c r="AL216" t="s">
        <v>6801</v>
      </c>
      <c r="AM216">
        <v>4260</v>
      </c>
    </row>
    <row r="217" spans="1:44">
      <c r="A217" s="1">
        <f>HYPERLINK("https://lsnyc.legalserver.org/matter/dynamic-profile/view/1913565","19-1913565")</f>
        <v>0</v>
      </c>
      <c r="B217" t="s">
        <v>115</v>
      </c>
      <c r="C217" t="s">
        <v>265</v>
      </c>
      <c r="E217" t="s">
        <v>562</v>
      </c>
      <c r="F217" t="s">
        <v>1430</v>
      </c>
      <c r="G217" t="s">
        <v>2347</v>
      </c>
      <c r="H217" t="s">
        <v>3189</v>
      </c>
      <c r="I217" t="s">
        <v>3495</v>
      </c>
      <c r="J217">
        <v>10034</v>
      </c>
      <c r="K217" t="s">
        <v>3522</v>
      </c>
      <c r="L217" t="s">
        <v>3525</v>
      </c>
      <c r="O217" t="s">
        <v>4134</v>
      </c>
      <c r="Q217" t="s">
        <v>4147</v>
      </c>
      <c r="R217" t="s">
        <v>3523</v>
      </c>
      <c r="T217" t="s">
        <v>4156</v>
      </c>
      <c r="V217" t="s">
        <v>265</v>
      </c>
      <c r="W217">
        <v>0</v>
      </c>
      <c r="X217" t="s">
        <v>4196</v>
      </c>
      <c r="Y217" t="s">
        <v>4201</v>
      </c>
      <c r="Z217" t="s">
        <v>4408</v>
      </c>
      <c r="AB217" t="s">
        <v>5807</v>
      </c>
      <c r="AC217">
        <v>85</v>
      </c>
      <c r="AD217" t="s">
        <v>6772</v>
      </c>
      <c r="AE217" t="s">
        <v>3526</v>
      </c>
      <c r="AF217">
        <v>32</v>
      </c>
      <c r="AG217">
        <v>1</v>
      </c>
      <c r="AH217">
        <v>0</v>
      </c>
      <c r="AI217">
        <v>34.11</v>
      </c>
      <c r="AL217" t="s">
        <v>6801</v>
      </c>
      <c r="AM217">
        <v>4260</v>
      </c>
    </row>
    <row r="218" spans="1:44">
      <c r="A218" s="1">
        <f>HYPERLINK("https://lsnyc.legalserver.org/matter/dynamic-profile/view/1911100","19-1911100")</f>
        <v>0</v>
      </c>
      <c r="B218" t="s">
        <v>116</v>
      </c>
      <c r="C218" t="s">
        <v>270</v>
      </c>
      <c r="E218" t="s">
        <v>563</v>
      </c>
      <c r="F218" t="s">
        <v>1363</v>
      </c>
      <c r="G218" t="s">
        <v>2348</v>
      </c>
      <c r="H218" t="s">
        <v>3173</v>
      </c>
      <c r="I218" t="s">
        <v>3493</v>
      </c>
      <c r="J218">
        <v>10453</v>
      </c>
      <c r="K218" t="s">
        <v>3522</v>
      </c>
      <c r="L218" t="s">
        <v>3525</v>
      </c>
      <c r="M218" t="s">
        <v>3635</v>
      </c>
      <c r="N218" t="s">
        <v>4107</v>
      </c>
      <c r="O218" t="s">
        <v>4134</v>
      </c>
      <c r="Q218" t="s">
        <v>4147</v>
      </c>
      <c r="R218" t="s">
        <v>3523</v>
      </c>
      <c r="T218" t="s">
        <v>4156</v>
      </c>
      <c r="U218" t="s">
        <v>4170</v>
      </c>
      <c r="V218" t="s">
        <v>237</v>
      </c>
      <c r="W218">
        <v>1600</v>
      </c>
      <c r="X218" t="s">
        <v>4194</v>
      </c>
      <c r="Z218" t="s">
        <v>4409</v>
      </c>
      <c r="AB218" t="s">
        <v>5808</v>
      </c>
      <c r="AC218">
        <v>0</v>
      </c>
      <c r="AD218" t="s">
        <v>6772</v>
      </c>
      <c r="AF218">
        <v>0</v>
      </c>
      <c r="AG218">
        <v>1</v>
      </c>
      <c r="AH218">
        <v>3</v>
      </c>
      <c r="AI218">
        <v>34.16</v>
      </c>
      <c r="AL218" t="s">
        <v>6801</v>
      </c>
      <c r="AM218">
        <v>8796</v>
      </c>
    </row>
    <row r="219" spans="1:44">
      <c r="A219" s="1">
        <f>HYPERLINK("https://lsnyc.legalserver.org/matter/dynamic-profile/view/1910119","19-1910119")</f>
        <v>0</v>
      </c>
      <c r="B219" t="s">
        <v>86</v>
      </c>
      <c r="C219" t="s">
        <v>230</v>
      </c>
      <c r="D219" t="s">
        <v>243</v>
      </c>
      <c r="E219" t="s">
        <v>564</v>
      </c>
      <c r="F219" t="s">
        <v>1431</v>
      </c>
      <c r="G219" t="s">
        <v>2349</v>
      </c>
      <c r="I219" t="s">
        <v>3495</v>
      </c>
      <c r="J219">
        <v>10033</v>
      </c>
      <c r="K219" t="s">
        <v>3522</v>
      </c>
      <c r="L219" t="s">
        <v>3525</v>
      </c>
      <c r="N219" t="s">
        <v>4108</v>
      </c>
      <c r="O219" t="s">
        <v>4135</v>
      </c>
      <c r="P219" t="s">
        <v>4142</v>
      </c>
      <c r="Q219" t="s">
        <v>4147</v>
      </c>
      <c r="R219" t="s">
        <v>3522</v>
      </c>
      <c r="T219" t="s">
        <v>4156</v>
      </c>
      <c r="V219" t="s">
        <v>336</v>
      </c>
      <c r="W219">
        <v>811.77</v>
      </c>
      <c r="X219" t="s">
        <v>4196</v>
      </c>
      <c r="Y219" t="s">
        <v>4205</v>
      </c>
      <c r="Z219" t="s">
        <v>4410</v>
      </c>
      <c r="AB219" t="s">
        <v>5809</v>
      </c>
      <c r="AC219">
        <v>24</v>
      </c>
      <c r="AD219" t="s">
        <v>6772</v>
      </c>
      <c r="AE219" t="s">
        <v>6791</v>
      </c>
      <c r="AF219">
        <v>45</v>
      </c>
      <c r="AG219">
        <v>2</v>
      </c>
      <c r="AH219">
        <v>0</v>
      </c>
      <c r="AI219">
        <v>34.35</v>
      </c>
      <c r="AL219" t="s">
        <v>6802</v>
      </c>
      <c r="AM219">
        <v>5808</v>
      </c>
    </row>
    <row r="220" spans="1:44">
      <c r="A220" s="1">
        <f>HYPERLINK("https://lsnyc.legalserver.org/matter/dynamic-profile/view/1905345","19-1905345")</f>
        <v>0</v>
      </c>
      <c r="B220" t="s">
        <v>46</v>
      </c>
      <c r="C220" t="s">
        <v>264</v>
      </c>
      <c r="E220" t="s">
        <v>565</v>
      </c>
      <c r="F220" t="s">
        <v>1432</v>
      </c>
      <c r="G220" t="s">
        <v>2350</v>
      </c>
      <c r="H220" t="s">
        <v>3162</v>
      </c>
      <c r="I220" t="s">
        <v>3504</v>
      </c>
      <c r="J220">
        <v>11374</v>
      </c>
      <c r="K220" t="s">
        <v>3522</v>
      </c>
      <c r="L220" t="s">
        <v>3525</v>
      </c>
      <c r="M220" t="s">
        <v>3636</v>
      </c>
      <c r="N220" t="s">
        <v>4109</v>
      </c>
      <c r="O220" t="s">
        <v>4132</v>
      </c>
      <c r="Q220" t="s">
        <v>4147</v>
      </c>
      <c r="R220" t="s">
        <v>3522</v>
      </c>
      <c r="T220" t="s">
        <v>4156</v>
      </c>
      <c r="U220" t="s">
        <v>4168</v>
      </c>
      <c r="V220" t="s">
        <v>264</v>
      </c>
      <c r="W220">
        <v>0</v>
      </c>
      <c r="X220" t="s">
        <v>4192</v>
      </c>
      <c r="Y220" t="s">
        <v>4197</v>
      </c>
      <c r="Z220" t="s">
        <v>4411</v>
      </c>
      <c r="AB220" t="s">
        <v>5810</v>
      </c>
      <c r="AC220">
        <v>47</v>
      </c>
      <c r="AD220" t="s">
        <v>6783</v>
      </c>
      <c r="AE220" t="s">
        <v>3526</v>
      </c>
      <c r="AF220">
        <v>16</v>
      </c>
      <c r="AG220">
        <v>4</v>
      </c>
      <c r="AH220">
        <v>1</v>
      </c>
      <c r="AI220">
        <v>34.47</v>
      </c>
      <c r="AL220" t="s">
        <v>6801</v>
      </c>
      <c r="AM220">
        <v>10400</v>
      </c>
    </row>
    <row r="221" spans="1:44">
      <c r="A221" s="1">
        <f>HYPERLINK("https://lsnyc.legalserver.org/matter/dynamic-profile/view/1903977","19-1903977")</f>
        <v>0</v>
      </c>
      <c r="B221" t="s">
        <v>72</v>
      </c>
      <c r="C221" t="s">
        <v>274</v>
      </c>
      <c r="E221" t="s">
        <v>566</v>
      </c>
      <c r="F221" t="s">
        <v>1433</v>
      </c>
      <c r="G221" t="s">
        <v>2216</v>
      </c>
      <c r="H221" t="s">
        <v>3135</v>
      </c>
      <c r="I221" t="s">
        <v>3490</v>
      </c>
      <c r="J221">
        <v>11212</v>
      </c>
      <c r="K221" t="s">
        <v>3522</v>
      </c>
      <c r="L221" t="s">
        <v>3525</v>
      </c>
      <c r="M221" t="s">
        <v>3637</v>
      </c>
      <c r="N221" t="s">
        <v>4113</v>
      </c>
      <c r="O221" t="s">
        <v>4138</v>
      </c>
      <c r="Q221" t="s">
        <v>4147</v>
      </c>
      <c r="R221" t="s">
        <v>3522</v>
      </c>
      <c r="T221" t="s">
        <v>4160</v>
      </c>
      <c r="U221" t="s">
        <v>4168</v>
      </c>
      <c r="V221" t="s">
        <v>241</v>
      </c>
      <c r="W221">
        <v>588.1799999999999</v>
      </c>
      <c r="X221" t="s">
        <v>4193</v>
      </c>
      <c r="Y221" t="s">
        <v>4198</v>
      </c>
      <c r="Z221" t="s">
        <v>4412</v>
      </c>
      <c r="AA221" t="s">
        <v>5524</v>
      </c>
      <c r="AC221">
        <v>8</v>
      </c>
      <c r="AD221" t="s">
        <v>6772</v>
      </c>
      <c r="AE221" t="s">
        <v>3526</v>
      </c>
      <c r="AF221">
        <v>15</v>
      </c>
      <c r="AG221">
        <v>3</v>
      </c>
      <c r="AH221">
        <v>2</v>
      </c>
      <c r="AI221">
        <v>34.47</v>
      </c>
      <c r="AL221" t="s">
        <v>6806</v>
      </c>
      <c r="AM221">
        <v>10400</v>
      </c>
    </row>
    <row r="222" spans="1:44">
      <c r="A222" s="1">
        <f>HYPERLINK("https://lsnyc.legalserver.org/matter/dynamic-profile/view/1911686","19-1911686")</f>
        <v>0</v>
      </c>
      <c r="B222" t="s">
        <v>82</v>
      </c>
      <c r="C222" t="s">
        <v>194</v>
      </c>
      <c r="D222" t="s">
        <v>295</v>
      </c>
      <c r="E222" t="s">
        <v>567</v>
      </c>
      <c r="F222" t="s">
        <v>1434</v>
      </c>
      <c r="G222" t="s">
        <v>2351</v>
      </c>
      <c r="H222" t="s">
        <v>3213</v>
      </c>
      <c r="I222" t="s">
        <v>3493</v>
      </c>
      <c r="J222">
        <v>10459</v>
      </c>
      <c r="K222" t="s">
        <v>3522</v>
      </c>
      <c r="L222" t="s">
        <v>3525</v>
      </c>
      <c r="M222" t="s">
        <v>3638</v>
      </c>
      <c r="N222" t="s">
        <v>4109</v>
      </c>
      <c r="O222" t="s">
        <v>4135</v>
      </c>
      <c r="P222" t="s">
        <v>4142</v>
      </c>
      <c r="Q222" t="s">
        <v>4147</v>
      </c>
      <c r="R222" t="s">
        <v>3523</v>
      </c>
      <c r="T222" t="s">
        <v>4156</v>
      </c>
      <c r="U222" t="s">
        <v>4169</v>
      </c>
      <c r="V222" t="s">
        <v>202</v>
      </c>
      <c r="W222">
        <v>1039</v>
      </c>
      <c r="X222" t="s">
        <v>4194</v>
      </c>
      <c r="Y222" t="s">
        <v>4206</v>
      </c>
      <c r="Z222" t="s">
        <v>4413</v>
      </c>
      <c r="AB222" t="s">
        <v>5811</v>
      </c>
      <c r="AC222">
        <v>0</v>
      </c>
      <c r="AD222" t="s">
        <v>6772</v>
      </c>
      <c r="AE222" t="s">
        <v>6790</v>
      </c>
      <c r="AF222">
        <v>0</v>
      </c>
      <c r="AG222">
        <v>1</v>
      </c>
      <c r="AH222">
        <v>0</v>
      </c>
      <c r="AI222">
        <v>34.59</v>
      </c>
      <c r="AL222" t="s">
        <v>6801</v>
      </c>
      <c r="AM222">
        <v>4320</v>
      </c>
    </row>
    <row r="223" spans="1:44">
      <c r="A223" s="1">
        <f>HYPERLINK("https://lsnyc.legalserver.org/matter/dynamic-profile/view/1910677","19-1910677")</f>
        <v>0</v>
      </c>
      <c r="B223" t="s">
        <v>117</v>
      </c>
      <c r="C223" t="s">
        <v>177</v>
      </c>
      <c r="E223" t="s">
        <v>568</v>
      </c>
      <c r="F223" t="s">
        <v>1435</v>
      </c>
      <c r="G223" t="s">
        <v>2352</v>
      </c>
      <c r="I223" t="s">
        <v>3480</v>
      </c>
      <c r="J223">
        <v>11432</v>
      </c>
      <c r="K223" t="s">
        <v>3522</v>
      </c>
      <c r="L223" t="s">
        <v>3525</v>
      </c>
      <c r="M223" t="s">
        <v>3639</v>
      </c>
      <c r="N223" t="s">
        <v>4107</v>
      </c>
      <c r="O223" t="s">
        <v>4134</v>
      </c>
      <c r="Q223" t="s">
        <v>4147</v>
      </c>
      <c r="R223" t="s">
        <v>3523</v>
      </c>
      <c r="T223" t="s">
        <v>4156</v>
      </c>
      <c r="U223" t="s">
        <v>4168</v>
      </c>
      <c r="V223" t="s">
        <v>313</v>
      </c>
      <c r="W223">
        <v>2100</v>
      </c>
      <c r="X223" t="s">
        <v>4192</v>
      </c>
      <c r="Y223" t="s">
        <v>4197</v>
      </c>
      <c r="Z223" t="s">
        <v>4414</v>
      </c>
      <c r="AA223" t="s">
        <v>5525</v>
      </c>
      <c r="AB223" t="s">
        <v>5812</v>
      </c>
      <c r="AC223">
        <v>2</v>
      </c>
      <c r="AD223" t="s">
        <v>6771</v>
      </c>
      <c r="AE223" t="s">
        <v>3526</v>
      </c>
      <c r="AF223">
        <v>1</v>
      </c>
      <c r="AG223">
        <v>2</v>
      </c>
      <c r="AH223">
        <v>1</v>
      </c>
      <c r="AI223">
        <v>34.67</v>
      </c>
      <c r="AL223" t="s">
        <v>6801</v>
      </c>
      <c r="AM223">
        <v>7396</v>
      </c>
    </row>
    <row r="224" spans="1:44">
      <c r="A224" s="1">
        <f>HYPERLINK("https://lsnyc.legalserver.org/matter/dynamic-profile/view/1903978","19-1903978")</f>
        <v>0</v>
      </c>
      <c r="B224" t="s">
        <v>47</v>
      </c>
      <c r="C224" t="s">
        <v>274</v>
      </c>
      <c r="E224" t="s">
        <v>569</v>
      </c>
      <c r="F224" t="s">
        <v>1353</v>
      </c>
      <c r="G224" t="s">
        <v>2353</v>
      </c>
      <c r="H224" t="s">
        <v>3181</v>
      </c>
      <c r="I224" t="s">
        <v>3478</v>
      </c>
      <c r="J224">
        <v>11692</v>
      </c>
      <c r="K224" t="s">
        <v>3522</v>
      </c>
      <c r="L224" t="s">
        <v>3525</v>
      </c>
      <c r="M224" t="s">
        <v>3640</v>
      </c>
      <c r="N224" t="s">
        <v>4108</v>
      </c>
      <c r="O224" t="s">
        <v>4132</v>
      </c>
      <c r="Q224" t="s">
        <v>4147</v>
      </c>
      <c r="R224" t="s">
        <v>3523</v>
      </c>
      <c r="T224" t="s">
        <v>4156</v>
      </c>
      <c r="U224" t="s">
        <v>4168</v>
      </c>
      <c r="V224" t="s">
        <v>4174</v>
      </c>
      <c r="W224">
        <v>2206</v>
      </c>
      <c r="X224" t="s">
        <v>4192</v>
      </c>
      <c r="Y224" t="s">
        <v>4197</v>
      </c>
      <c r="Z224" t="s">
        <v>4415</v>
      </c>
      <c r="AA224" t="s">
        <v>5482</v>
      </c>
      <c r="AB224" t="s">
        <v>5813</v>
      </c>
      <c r="AC224">
        <v>2</v>
      </c>
      <c r="AD224" t="s">
        <v>6771</v>
      </c>
      <c r="AE224" t="s">
        <v>6786</v>
      </c>
      <c r="AF224">
        <v>5</v>
      </c>
      <c r="AG224">
        <v>1</v>
      </c>
      <c r="AH224">
        <v>3</v>
      </c>
      <c r="AI224">
        <v>35.14</v>
      </c>
      <c r="AL224" t="s">
        <v>6801</v>
      </c>
      <c r="AM224">
        <v>9048</v>
      </c>
    </row>
    <row r="225" spans="1:44">
      <c r="A225" s="1">
        <f>HYPERLINK("https://lsnyc.legalserver.org/matter/dynamic-profile/view/1912808","19-1912808")</f>
        <v>0</v>
      </c>
      <c r="B225" t="s">
        <v>57</v>
      </c>
      <c r="C225" t="s">
        <v>253</v>
      </c>
      <c r="D225" t="s">
        <v>191</v>
      </c>
      <c r="E225" t="s">
        <v>570</v>
      </c>
      <c r="F225" t="s">
        <v>1369</v>
      </c>
      <c r="G225" t="s">
        <v>2354</v>
      </c>
      <c r="I225" t="s">
        <v>3490</v>
      </c>
      <c r="J225">
        <v>11233</v>
      </c>
      <c r="K225" t="s">
        <v>3522</v>
      </c>
      <c r="L225" t="s">
        <v>3525</v>
      </c>
      <c r="M225" t="s">
        <v>3554</v>
      </c>
      <c r="N225" t="s">
        <v>4118</v>
      </c>
      <c r="O225" t="s">
        <v>4132</v>
      </c>
      <c r="P225" t="s">
        <v>4139</v>
      </c>
      <c r="Q225" t="s">
        <v>4147</v>
      </c>
      <c r="R225" t="s">
        <v>3523</v>
      </c>
      <c r="T225" t="s">
        <v>4156</v>
      </c>
      <c r="U225" t="s">
        <v>4168</v>
      </c>
      <c r="V225" t="s">
        <v>253</v>
      </c>
      <c r="W225">
        <v>1588</v>
      </c>
      <c r="X225" t="s">
        <v>4193</v>
      </c>
      <c r="Y225" t="s">
        <v>4205</v>
      </c>
      <c r="Z225" t="s">
        <v>4416</v>
      </c>
      <c r="AA225" t="s">
        <v>5526</v>
      </c>
      <c r="AB225" t="s">
        <v>5814</v>
      </c>
      <c r="AC225">
        <v>19</v>
      </c>
      <c r="AE225" t="s">
        <v>6786</v>
      </c>
      <c r="AF225">
        <v>6</v>
      </c>
      <c r="AG225">
        <v>1</v>
      </c>
      <c r="AH225">
        <v>3</v>
      </c>
      <c r="AI225">
        <v>35.4</v>
      </c>
      <c r="AL225" t="s">
        <v>6801</v>
      </c>
      <c r="AM225">
        <v>9116</v>
      </c>
    </row>
    <row r="226" spans="1:44">
      <c r="A226" s="1">
        <f>HYPERLINK("https://lsnyc.legalserver.org/matter/dynamic-profile/view/1904250","19-1904250")</f>
        <v>0</v>
      </c>
      <c r="B226" t="s">
        <v>108</v>
      </c>
      <c r="C226" t="s">
        <v>209</v>
      </c>
      <c r="D226" t="s">
        <v>312</v>
      </c>
      <c r="E226" t="s">
        <v>571</v>
      </c>
      <c r="F226" t="s">
        <v>1436</v>
      </c>
      <c r="G226" t="s">
        <v>2355</v>
      </c>
      <c r="H226" t="s">
        <v>3149</v>
      </c>
      <c r="I226" t="s">
        <v>3479</v>
      </c>
      <c r="J226">
        <v>11691</v>
      </c>
      <c r="K226" t="s">
        <v>3522</v>
      </c>
      <c r="L226" t="s">
        <v>3525</v>
      </c>
      <c r="M226" t="s">
        <v>3641</v>
      </c>
      <c r="N226" t="s">
        <v>4109</v>
      </c>
      <c r="O226" t="s">
        <v>4134</v>
      </c>
      <c r="P226" t="s">
        <v>4140</v>
      </c>
      <c r="Q226" t="s">
        <v>4147</v>
      </c>
      <c r="R226" t="s">
        <v>3523</v>
      </c>
      <c r="T226" t="s">
        <v>4156</v>
      </c>
      <c r="U226" t="s">
        <v>4171</v>
      </c>
      <c r="V226" t="s">
        <v>209</v>
      </c>
      <c r="W226">
        <v>208</v>
      </c>
      <c r="X226" t="s">
        <v>4192</v>
      </c>
      <c r="Y226" t="s">
        <v>4202</v>
      </c>
      <c r="Z226" t="s">
        <v>4417</v>
      </c>
      <c r="AB226" t="s">
        <v>5815</v>
      </c>
      <c r="AC226">
        <v>53</v>
      </c>
      <c r="AD226" t="s">
        <v>5524</v>
      </c>
      <c r="AE226" t="s">
        <v>6786</v>
      </c>
      <c r="AF226">
        <v>30</v>
      </c>
      <c r="AG226">
        <v>2</v>
      </c>
      <c r="AH226">
        <v>2</v>
      </c>
      <c r="AI226">
        <v>35.42</v>
      </c>
      <c r="AL226" t="s">
        <v>6801</v>
      </c>
      <c r="AM226">
        <v>9120</v>
      </c>
      <c r="AO226" t="s">
        <v>6916</v>
      </c>
      <c r="AP226" t="s">
        <v>6925</v>
      </c>
      <c r="AQ226" t="s">
        <v>6945</v>
      </c>
      <c r="AR226" t="s">
        <v>6963</v>
      </c>
    </row>
    <row r="227" spans="1:44">
      <c r="A227" s="1">
        <f>HYPERLINK("https://lsnyc.legalserver.org/matter/dynamic-profile/view/1916914","19-1916914")</f>
        <v>0</v>
      </c>
      <c r="B227" t="s">
        <v>72</v>
      </c>
      <c r="C227" t="s">
        <v>189</v>
      </c>
      <c r="E227" t="s">
        <v>572</v>
      </c>
      <c r="F227" t="s">
        <v>588</v>
      </c>
      <c r="G227" t="s">
        <v>2356</v>
      </c>
      <c r="H227" t="s">
        <v>3135</v>
      </c>
      <c r="I227" t="s">
        <v>3490</v>
      </c>
      <c r="J227">
        <v>11231</v>
      </c>
      <c r="K227" t="s">
        <v>3522</v>
      </c>
      <c r="L227" t="s">
        <v>3525</v>
      </c>
      <c r="M227" t="s">
        <v>3526</v>
      </c>
      <c r="N227" t="s">
        <v>3554</v>
      </c>
      <c r="O227" t="s">
        <v>4132</v>
      </c>
      <c r="Q227" t="s">
        <v>4147</v>
      </c>
      <c r="R227" t="s">
        <v>3522</v>
      </c>
      <c r="T227" t="s">
        <v>4156</v>
      </c>
      <c r="V227" t="s">
        <v>4180</v>
      </c>
      <c r="W227">
        <v>0</v>
      </c>
      <c r="X227" t="s">
        <v>4193</v>
      </c>
      <c r="Y227" t="s">
        <v>4204</v>
      </c>
      <c r="Z227" t="s">
        <v>4418</v>
      </c>
      <c r="AB227" t="s">
        <v>5816</v>
      </c>
      <c r="AC227">
        <v>36</v>
      </c>
      <c r="AD227" t="s">
        <v>6772</v>
      </c>
      <c r="AE227" t="s">
        <v>6790</v>
      </c>
      <c r="AF227">
        <v>3</v>
      </c>
      <c r="AG227">
        <v>1</v>
      </c>
      <c r="AH227">
        <v>2</v>
      </c>
      <c r="AI227">
        <v>35.47</v>
      </c>
      <c r="AL227" t="s">
        <v>6801</v>
      </c>
      <c r="AM227">
        <v>7566</v>
      </c>
    </row>
    <row r="228" spans="1:44">
      <c r="A228" s="1">
        <f>HYPERLINK("https://lsnyc.legalserver.org/matter/dynamic-profile/view/1909085","19-1909085")</f>
        <v>0</v>
      </c>
      <c r="B228" t="s">
        <v>54</v>
      </c>
      <c r="C228" t="s">
        <v>275</v>
      </c>
      <c r="E228" t="s">
        <v>573</v>
      </c>
      <c r="F228" t="s">
        <v>1437</v>
      </c>
      <c r="G228" t="s">
        <v>2193</v>
      </c>
      <c r="H228" t="s">
        <v>3214</v>
      </c>
      <c r="I228" t="s">
        <v>3490</v>
      </c>
      <c r="J228">
        <v>11233</v>
      </c>
      <c r="K228" t="s">
        <v>3522</v>
      </c>
      <c r="L228" t="s">
        <v>3526</v>
      </c>
      <c r="M228" t="s">
        <v>3550</v>
      </c>
      <c r="N228" t="s">
        <v>4110</v>
      </c>
      <c r="O228" t="s">
        <v>4137</v>
      </c>
      <c r="Q228" t="s">
        <v>4147</v>
      </c>
      <c r="R228" t="s">
        <v>3522</v>
      </c>
      <c r="T228" t="s">
        <v>4156</v>
      </c>
      <c r="U228" t="s">
        <v>4168</v>
      </c>
      <c r="V228" t="s">
        <v>4175</v>
      </c>
      <c r="W228">
        <v>840</v>
      </c>
      <c r="X228" t="s">
        <v>4193</v>
      </c>
      <c r="Y228" t="s">
        <v>4200</v>
      </c>
      <c r="Z228" t="s">
        <v>4419</v>
      </c>
      <c r="AC228">
        <v>359</v>
      </c>
      <c r="AD228" t="s">
        <v>6772</v>
      </c>
      <c r="AF228">
        <v>20</v>
      </c>
      <c r="AG228">
        <v>2</v>
      </c>
      <c r="AH228">
        <v>0</v>
      </c>
      <c r="AI228">
        <v>35.48</v>
      </c>
      <c r="AL228" t="s">
        <v>6801</v>
      </c>
      <c r="AM228">
        <v>6000</v>
      </c>
      <c r="AN228" t="s">
        <v>6831</v>
      </c>
    </row>
    <row r="229" spans="1:44">
      <c r="A229" s="1">
        <f>HYPERLINK("https://lsnyc.legalserver.org/matter/dynamic-profile/view/1906315","19-1906315")</f>
        <v>0</v>
      </c>
      <c r="B229" t="s">
        <v>69</v>
      </c>
      <c r="C229" t="s">
        <v>276</v>
      </c>
      <c r="D229" t="s">
        <v>223</v>
      </c>
      <c r="E229" t="s">
        <v>574</v>
      </c>
      <c r="F229" t="s">
        <v>1438</v>
      </c>
      <c r="G229" t="s">
        <v>2357</v>
      </c>
      <c r="H229" t="s">
        <v>3215</v>
      </c>
      <c r="I229" t="s">
        <v>3490</v>
      </c>
      <c r="J229">
        <v>11233</v>
      </c>
      <c r="K229" t="s">
        <v>3522</v>
      </c>
      <c r="L229" t="s">
        <v>3525</v>
      </c>
      <c r="M229" t="s">
        <v>3642</v>
      </c>
      <c r="N229" t="s">
        <v>4109</v>
      </c>
      <c r="O229" t="s">
        <v>4132</v>
      </c>
      <c r="P229" t="s">
        <v>4139</v>
      </c>
      <c r="Q229" t="s">
        <v>4147</v>
      </c>
      <c r="R229" t="s">
        <v>3523</v>
      </c>
      <c r="T229" t="s">
        <v>4156</v>
      </c>
      <c r="U229" t="s">
        <v>4168</v>
      </c>
      <c r="V229" t="s">
        <v>193</v>
      </c>
      <c r="W229">
        <v>1500</v>
      </c>
      <c r="X229" t="s">
        <v>4193</v>
      </c>
      <c r="Y229" t="s">
        <v>4201</v>
      </c>
      <c r="Z229" t="s">
        <v>4420</v>
      </c>
      <c r="AA229" t="s">
        <v>3562</v>
      </c>
      <c r="AB229" t="s">
        <v>5817</v>
      </c>
      <c r="AC229">
        <v>3</v>
      </c>
      <c r="AD229" t="s">
        <v>6771</v>
      </c>
      <c r="AE229" t="s">
        <v>6786</v>
      </c>
      <c r="AF229">
        <v>19</v>
      </c>
      <c r="AG229">
        <v>2</v>
      </c>
      <c r="AH229">
        <v>0</v>
      </c>
      <c r="AI229">
        <v>35.48</v>
      </c>
      <c r="AL229" t="s">
        <v>6801</v>
      </c>
      <c r="AM229">
        <v>6000</v>
      </c>
    </row>
    <row r="230" spans="1:44">
      <c r="A230" s="1">
        <f>HYPERLINK("https://lsnyc.legalserver.org/matter/dynamic-profile/view/1915494","19-1915494")</f>
        <v>0</v>
      </c>
      <c r="B230" t="s">
        <v>106</v>
      </c>
      <c r="C230" t="s">
        <v>258</v>
      </c>
      <c r="D230" t="s">
        <v>258</v>
      </c>
      <c r="E230" t="s">
        <v>524</v>
      </c>
      <c r="F230" t="s">
        <v>1439</v>
      </c>
      <c r="G230" t="s">
        <v>2358</v>
      </c>
      <c r="I230" t="s">
        <v>3493</v>
      </c>
      <c r="J230">
        <v>10457</v>
      </c>
      <c r="K230" t="s">
        <v>3522</v>
      </c>
      <c r="L230" t="s">
        <v>3525</v>
      </c>
      <c r="N230" t="s">
        <v>3554</v>
      </c>
      <c r="O230" t="s">
        <v>4132</v>
      </c>
      <c r="P230" t="s">
        <v>4139</v>
      </c>
      <c r="Q230" t="s">
        <v>4147</v>
      </c>
      <c r="T230" t="s">
        <v>4156</v>
      </c>
      <c r="U230" t="s">
        <v>4168</v>
      </c>
      <c r="V230" t="s">
        <v>258</v>
      </c>
      <c r="W230">
        <v>1100</v>
      </c>
      <c r="X230" t="s">
        <v>4194</v>
      </c>
      <c r="Y230" t="s">
        <v>4206</v>
      </c>
      <c r="Z230" t="s">
        <v>4421</v>
      </c>
      <c r="AB230" t="s">
        <v>5818</v>
      </c>
      <c r="AC230">
        <v>0</v>
      </c>
      <c r="AD230" t="s">
        <v>6774</v>
      </c>
      <c r="AF230">
        <v>3</v>
      </c>
      <c r="AG230">
        <v>2</v>
      </c>
      <c r="AH230">
        <v>3</v>
      </c>
      <c r="AI230">
        <v>35.8</v>
      </c>
      <c r="AL230" t="s">
        <v>6801</v>
      </c>
      <c r="AM230">
        <v>10800</v>
      </c>
    </row>
    <row r="231" spans="1:44">
      <c r="A231" s="1">
        <f>HYPERLINK("https://lsnyc.legalserver.org/matter/dynamic-profile/view/1905305","19-1905305")</f>
        <v>0</v>
      </c>
      <c r="B231" t="s">
        <v>74</v>
      </c>
      <c r="C231" t="s">
        <v>255</v>
      </c>
      <c r="E231" t="s">
        <v>493</v>
      </c>
      <c r="F231" t="s">
        <v>1440</v>
      </c>
      <c r="G231" t="s">
        <v>2359</v>
      </c>
      <c r="H231">
        <v>3</v>
      </c>
      <c r="I231" t="s">
        <v>3493</v>
      </c>
      <c r="J231">
        <v>10459</v>
      </c>
      <c r="K231" t="s">
        <v>3522</v>
      </c>
      <c r="L231" t="s">
        <v>3525</v>
      </c>
      <c r="M231" t="s">
        <v>3643</v>
      </c>
      <c r="N231" t="s">
        <v>4107</v>
      </c>
      <c r="Q231" t="s">
        <v>4147</v>
      </c>
      <c r="R231" t="s">
        <v>3523</v>
      </c>
      <c r="T231" t="s">
        <v>4156</v>
      </c>
      <c r="V231" t="s">
        <v>265</v>
      </c>
      <c r="W231">
        <v>743.21</v>
      </c>
      <c r="X231" t="s">
        <v>4194</v>
      </c>
      <c r="Y231" t="s">
        <v>4206</v>
      </c>
      <c r="Z231" t="s">
        <v>4422</v>
      </c>
      <c r="AA231" t="s">
        <v>5527</v>
      </c>
      <c r="AB231" t="s">
        <v>5819</v>
      </c>
      <c r="AC231">
        <v>11</v>
      </c>
      <c r="AD231" t="s">
        <v>6772</v>
      </c>
      <c r="AE231" t="s">
        <v>3526</v>
      </c>
      <c r="AF231">
        <v>3</v>
      </c>
      <c r="AG231">
        <v>1</v>
      </c>
      <c r="AH231">
        <v>0</v>
      </c>
      <c r="AI231">
        <v>35.84</v>
      </c>
      <c r="AL231" t="s">
        <v>6801</v>
      </c>
      <c r="AM231">
        <v>4476</v>
      </c>
    </row>
    <row r="232" spans="1:44">
      <c r="A232" s="1">
        <f>HYPERLINK("https://lsnyc.legalserver.org/matter/dynamic-profile/view/1916768","19-1916768")</f>
        <v>0</v>
      </c>
      <c r="B232" t="s">
        <v>72</v>
      </c>
      <c r="C232" t="s">
        <v>195</v>
      </c>
      <c r="E232" t="s">
        <v>575</v>
      </c>
      <c r="F232" t="s">
        <v>1441</v>
      </c>
      <c r="G232" t="s">
        <v>2304</v>
      </c>
      <c r="H232" t="s">
        <v>3216</v>
      </c>
      <c r="I232" t="s">
        <v>3490</v>
      </c>
      <c r="J232">
        <v>11238</v>
      </c>
      <c r="K232" t="s">
        <v>3522</v>
      </c>
      <c r="L232" t="s">
        <v>3525</v>
      </c>
      <c r="M232" t="s">
        <v>3526</v>
      </c>
      <c r="N232" t="s">
        <v>4110</v>
      </c>
      <c r="O232" t="s">
        <v>4137</v>
      </c>
      <c r="Q232" t="s">
        <v>4147</v>
      </c>
      <c r="R232" t="s">
        <v>3522</v>
      </c>
      <c r="T232" t="s">
        <v>4156</v>
      </c>
      <c r="V232" t="s">
        <v>314</v>
      </c>
      <c r="W232">
        <v>835.72</v>
      </c>
      <c r="X232" t="s">
        <v>4193</v>
      </c>
      <c r="Y232" t="s">
        <v>4198</v>
      </c>
      <c r="Z232" t="s">
        <v>4423</v>
      </c>
      <c r="AA232" t="s">
        <v>5528</v>
      </c>
      <c r="AB232" t="s">
        <v>5820</v>
      </c>
      <c r="AC232">
        <v>16</v>
      </c>
      <c r="AD232" t="s">
        <v>6772</v>
      </c>
      <c r="AE232" t="s">
        <v>3526</v>
      </c>
      <c r="AF232">
        <v>2</v>
      </c>
      <c r="AG232">
        <v>1</v>
      </c>
      <c r="AH232">
        <v>0</v>
      </c>
      <c r="AI232">
        <v>36.12</v>
      </c>
      <c r="AL232" t="s">
        <v>6801</v>
      </c>
      <c r="AM232">
        <v>4512</v>
      </c>
      <c r="AN232" t="s">
        <v>6828</v>
      </c>
    </row>
    <row r="233" spans="1:44">
      <c r="A233" s="1">
        <f>HYPERLINK("https://lsnyc.legalserver.org/matter/dynamic-profile/view/1916771","19-1916771")</f>
        <v>0</v>
      </c>
      <c r="B233" t="s">
        <v>72</v>
      </c>
      <c r="C233" t="s">
        <v>195</v>
      </c>
      <c r="E233" t="s">
        <v>575</v>
      </c>
      <c r="F233" t="s">
        <v>1441</v>
      </c>
      <c r="G233" t="s">
        <v>2304</v>
      </c>
      <c r="H233" t="s">
        <v>3216</v>
      </c>
      <c r="I233" t="s">
        <v>3490</v>
      </c>
      <c r="J233">
        <v>11238</v>
      </c>
      <c r="K233" t="s">
        <v>3522</v>
      </c>
      <c r="L233" t="s">
        <v>3525</v>
      </c>
      <c r="M233" t="s">
        <v>3609</v>
      </c>
      <c r="N233" t="s">
        <v>4108</v>
      </c>
      <c r="O233" t="s">
        <v>4134</v>
      </c>
      <c r="Q233" t="s">
        <v>4147</v>
      </c>
      <c r="R233" t="s">
        <v>3522</v>
      </c>
      <c r="T233" t="s">
        <v>4156</v>
      </c>
      <c r="V233" t="s">
        <v>314</v>
      </c>
      <c r="W233">
        <v>835.72</v>
      </c>
      <c r="X233" t="s">
        <v>4193</v>
      </c>
      <c r="Y233" t="s">
        <v>4198</v>
      </c>
      <c r="Z233" t="s">
        <v>4423</v>
      </c>
      <c r="AA233" t="s">
        <v>5528</v>
      </c>
      <c r="AB233" t="s">
        <v>5820</v>
      </c>
      <c r="AC233">
        <v>16</v>
      </c>
      <c r="AD233" t="s">
        <v>6772</v>
      </c>
      <c r="AE233" t="s">
        <v>3526</v>
      </c>
      <c r="AF233">
        <v>2</v>
      </c>
      <c r="AG233">
        <v>1</v>
      </c>
      <c r="AH233">
        <v>0</v>
      </c>
      <c r="AI233">
        <v>36.12</v>
      </c>
      <c r="AL233" t="s">
        <v>6801</v>
      </c>
      <c r="AM233">
        <v>4512</v>
      </c>
      <c r="AN233" t="s">
        <v>6828</v>
      </c>
    </row>
    <row r="234" spans="1:44">
      <c r="A234" s="1">
        <f>HYPERLINK("https://lsnyc.legalserver.org/matter/dynamic-profile/view/1916766","19-1916766")</f>
        <v>0</v>
      </c>
      <c r="B234" t="s">
        <v>72</v>
      </c>
      <c r="C234" t="s">
        <v>195</v>
      </c>
      <c r="E234" t="s">
        <v>575</v>
      </c>
      <c r="F234" t="s">
        <v>1441</v>
      </c>
      <c r="G234" t="s">
        <v>2304</v>
      </c>
      <c r="H234" t="s">
        <v>3216</v>
      </c>
      <c r="I234" t="s">
        <v>3490</v>
      </c>
      <c r="J234">
        <v>11238</v>
      </c>
      <c r="K234" t="s">
        <v>3522</v>
      </c>
      <c r="L234" t="s">
        <v>3525</v>
      </c>
      <c r="M234" t="s">
        <v>3526</v>
      </c>
      <c r="N234" t="s">
        <v>3554</v>
      </c>
      <c r="O234" t="s">
        <v>4135</v>
      </c>
      <c r="Q234" t="s">
        <v>4147</v>
      </c>
      <c r="R234" t="s">
        <v>3522</v>
      </c>
      <c r="T234" t="s">
        <v>4156</v>
      </c>
      <c r="V234" t="s">
        <v>314</v>
      </c>
      <c r="W234">
        <v>835.72</v>
      </c>
      <c r="X234" t="s">
        <v>4193</v>
      </c>
      <c r="Y234" t="s">
        <v>4198</v>
      </c>
      <c r="Z234" t="s">
        <v>4423</v>
      </c>
      <c r="AA234" t="s">
        <v>5528</v>
      </c>
      <c r="AB234" t="s">
        <v>5820</v>
      </c>
      <c r="AC234">
        <v>16</v>
      </c>
      <c r="AD234" t="s">
        <v>6772</v>
      </c>
      <c r="AE234" t="s">
        <v>3526</v>
      </c>
      <c r="AF234">
        <v>2</v>
      </c>
      <c r="AG234">
        <v>1</v>
      </c>
      <c r="AH234">
        <v>0</v>
      </c>
      <c r="AI234">
        <v>36.12</v>
      </c>
      <c r="AL234" t="s">
        <v>6801</v>
      </c>
      <c r="AM234">
        <v>4512</v>
      </c>
      <c r="AN234" t="s">
        <v>6828</v>
      </c>
    </row>
    <row r="235" spans="1:44">
      <c r="A235" s="1">
        <f>HYPERLINK("https://lsnyc.legalserver.org/matter/dynamic-profile/view/1898448","19-1898448")</f>
        <v>0</v>
      </c>
      <c r="B235" t="s">
        <v>118</v>
      </c>
      <c r="C235" t="s">
        <v>277</v>
      </c>
      <c r="D235" t="s">
        <v>318</v>
      </c>
      <c r="E235" t="s">
        <v>489</v>
      </c>
      <c r="F235" t="s">
        <v>1442</v>
      </c>
      <c r="G235" t="s">
        <v>2360</v>
      </c>
      <c r="H235" t="s">
        <v>3217</v>
      </c>
      <c r="I235" t="s">
        <v>3490</v>
      </c>
      <c r="J235">
        <v>11213</v>
      </c>
      <c r="K235" t="s">
        <v>3522</v>
      </c>
      <c r="L235" t="s">
        <v>3527</v>
      </c>
      <c r="M235" t="s">
        <v>3644</v>
      </c>
      <c r="N235" t="s">
        <v>4109</v>
      </c>
      <c r="O235" t="s">
        <v>4134</v>
      </c>
      <c r="P235" t="s">
        <v>4140</v>
      </c>
      <c r="Q235" t="s">
        <v>4147</v>
      </c>
      <c r="R235" t="s">
        <v>3523</v>
      </c>
      <c r="T235" t="s">
        <v>4156</v>
      </c>
      <c r="V235" t="s">
        <v>336</v>
      </c>
      <c r="W235">
        <v>659.4299999999999</v>
      </c>
      <c r="X235" t="s">
        <v>4193</v>
      </c>
      <c r="Y235" t="s">
        <v>4201</v>
      </c>
      <c r="Z235" t="s">
        <v>4424</v>
      </c>
      <c r="AA235" t="s">
        <v>5529</v>
      </c>
      <c r="AB235" t="s">
        <v>5821</v>
      </c>
      <c r="AC235">
        <v>8</v>
      </c>
      <c r="AD235" t="s">
        <v>6774</v>
      </c>
      <c r="AF235">
        <v>18</v>
      </c>
      <c r="AG235">
        <v>2</v>
      </c>
      <c r="AH235">
        <v>2</v>
      </c>
      <c r="AI235">
        <v>36.12</v>
      </c>
      <c r="AL235" t="s">
        <v>6801</v>
      </c>
      <c r="AM235">
        <v>9300</v>
      </c>
      <c r="AO235" t="s">
        <v>6915</v>
      </c>
      <c r="AP235" t="s">
        <v>6928</v>
      </c>
      <c r="AQ235" t="s">
        <v>6945</v>
      </c>
      <c r="AR235" t="s">
        <v>6962</v>
      </c>
    </row>
    <row r="236" spans="1:44">
      <c r="A236" s="1">
        <f>HYPERLINK("https://lsnyc.legalserver.org/matter/dynamic-profile/view/1905013","19-1905013")</f>
        <v>0</v>
      </c>
      <c r="B236" t="s">
        <v>69</v>
      </c>
      <c r="C236" t="s">
        <v>272</v>
      </c>
      <c r="D236" t="s">
        <v>223</v>
      </c>
      <c r="E236" t="s">
        <v>576</v>
      </c>
      <c r="F236" t="s">
        <v>1443</v>
      </c>
      <c r="G236" t="s">
        <v>2361</v>
      </c>
      <c r="H236" t="s">
        <v>3218</v>
      </c>
      <c r="I236" t="s">
        <v>3490</v>
      </c>
      <c r="J236">
        <v>11212</v>
      </c>
      <c r="K236" t="s">
        <v>3522</v>
      </c>
      <c r="L236" t="s">
        <v>3525</v>
      </c>
      <c r="M236" t="s">
        <v>3645</v>
      </c>
      <c r="N236" t="s">
        <v>4107</v>
      </c>
      <c r="O236" t="s">
        <v>4132</v>
      </c>
      <c r="P236" t="s">
        <v>4139</v>
      </c>
      <c r="Q236" t="s">
        <v>4147</v>
      </c>
      <c r="R236" t="s">
        <v>3523</v>
      </c>
      <c r="T236" t="s">
        <v>4156</v>
      </c>
      <c r="U236" t="s">
        <v>4168</v>
      </c>
      <c r="V236" t="s">
        <v>241</v>
      </c>
      <c r="W236">
        <v>790</v>
      </c>
      <c r="X236" t="s">
        <v>4193</v>
      </c>
      <c r="Y236" t="s">
        <v>4208</v>
      </c>
      <c r="Z236" t="s">
        <v>4425</v>
      </c>
      <c r="AB236" t="s">
        <v>5822</v>
      </c>
      <c r="AC236">
        <v>2</v>
      </c>
      <c r="AD236" t="s">
        <v>6771</v>
      </c>
      <c r="AE236" t="s">
        <v>3526</v>
      </c>
      <c r="AF236">
        <v>5</v>
      </c>
      <c r="AG236">
        <v>1</v>
      </c>
      <c r="AH236">
        <v>0</v>
      </c>
      <c r="AI236">
        <v>36.12</v>
      </c>
      <c r="AL236" t="s">
        <v>6801</v>
      </c>
      <c r="AM236">
        <v>4512</v>
      </c>
    </row>
    <row r="237" spans="1:44">
      <c r="A237" s="1">
        <f>HYPERLINK("https://lsnyc.legalserver.org/matter/dynamic-profile/view/1910849","19-1910849")</f>
        <v>0</v>
      </c>
      <c r="B237" t="s">
        <v>64</v>
      </c>
      <c r="C237" t="s">
        <v>201</v>
      </c>
      <c r="E237" t="s">
        <v>520</v>
      </c>
      <c r="F237" t="s">
        <v>1444</v>
      </c>
      <c r="G237" t="s">
        <v>2362</v>
      </c>
      <c r="H237" t="s">
        <v>3219</v>
      </c>
      <c r="I237" t="s">
        <v>3490</v>
      </c>
      <c r="J237">
        <v>11225</v>
      </c>
      <c r="K237" t="s">
        <v>3522</v>
      </c>
      <c r="L237" t="s">
        <v>3525</v>
      </c>
      <c r="O237" t="s">
        <v>4137</v>
      </c>
      <c r="Q237" t="s">
        <v>4147</v>
      </c>
      <c r="R237" t="s">
        <v>3522</v>
      </c>
      <c r="T237" t="s">
        <v>4156</v>
      </c>
      <c r="V237" t="s">
        <v>230</v>
      </c>
      <c r="W237">
        <v>0</v>
      </c>
      <c r="X237" t="s">
        <v>4193</v>
      </c>
      <c r="Z237" t="s">
        <v>4426</v>
      </c>
      <c r="AB237" t="s">
        <v>5823</v>
      </c>
      <c r="AC237">
        <v>11</v>
      </c>
      <c r="AF237">
        <v>0</v>
      </c>
      <c r="AG237">
        <v>4</v>
      </c>
      <c r="AH237">
        <v>0</v>
      </c>
      <c r="AI237">
        <v>36.25</v>
      </c>
      <c r="AL237" t="s">
        <v>6801</v>
      </c>
      <c r="AM237">
        <v>9335.16</v>
      </c>
    </row>
    <row r="238" spans="1:44">
      <c r="A238" s="1">
        <f>HYPERLINK("https://lsnyc.legalserver.org/matter/dynamic-profile/view/1904151","19-1904151")</f>
        <v>0</v>
      </c>
      <c r="B238" t="s">
        <v>46</v>
      </c>
      <c r="C238" t="s">
        <v>209</v>
      </c>
      <c r="E238" t="s">
        <v>577</v>
      </c>
      <c r="F238" t="s">
        <v>1445</v>
      </c>
      <c r="G238" t="s">
        <v>2363</v>
      </c>
      <c r="H238" t="s">
        <v>3220</v>
      </c>
      <c r="I238" t="s">
        <v>3505</v>
      </c>
      <c r="J238">
        <v>11365</v>
      </c>
      <c r="K238" t="s">
        <v>3522</v>
      </c>
      <c r="L238" t="s">
        <v>3527</v>
      </c>
      <c r="M238" t="s">
        <v>3646</v>
      </c>
      <c r="N238" t="s">
        <v>4107</v>
      </c>
      <c r="O238" t="s">
        <v>4134</v>
      </c>
      <c r="Q238" t="s">
        <v>4148</v>
      </c>
      <c r="R238" t="s">
        <v>3523</v>
      </c>
      <c r="T238" t="s">
        <v>4157</v>
      </c>
      <c r="U238" t="s">
        <v>4168</v>
      </c>
      <c r="V238" t="s">
        <v>209</v>
      </c>
      <c r="W238">
        <v>532</v>
      </c>
      <c r="X238" t="s">
        <v>4192</v>
      </c>
      <c r="Y238" t="s">
        <v>4199</v>
      </c>
      <c r="Z238" t="s">
        <v>4427</v>
      </c>
      <c r="AA238" t="s">
        <v>5530</v>
      </c>
      <c r="AB238" t="s">
        <v>5824</v>
      </c>
      <c r="AC238">
        <v>701</v>
      </c>
      <c r="AD238" t="s">
        <v>6777</v>
      </c>
      <c r="AE238" t="s">
        <v>3526</v>
      </c>
      <c r="AF238">
        <v>13</v>
      </c>
      <c r="AG238">
        <v>1</v>
      </c>
      <c r="AH238">
        <v>2</v>
      </c>
      <c r="AI238">
        <v>36.4</v>
      </c>
      <c r="AJ238" t="s">
        <v>6795</v>
      </c>
      <c r="AK238" t="s">
        <v>6798</v>
      </c>
      <c r="AL238" t="s">
        <v>6801</v>
      </c>
      <c r="AM238">
        <v>7764</v>
      </c>
      <c r="AO238" t="s">
        <v>6920</v>
      </c>
      <c r="AP238" t="s">
        <v>6924</v>
      </c>
      <c r="AQ238" t="s">
        <v>6945</v>
      </c>
      <c r="AR238" t="s">
        <v>6964</v>
      </c>
    </row>
    <row r="239" spans="1:44">
      <c r="A239" s="1">
        <f>HYPERLINK("https://lsnyc.legalserver.org/matter/dynamic-profile/view/1908303","19-1908303")</f>
        <v>0</v>
      </c>
      <c r="B239" t="s">
        <v>83</v>
      </c>
      <c r="C239" t="s">
        <v>211</v>
      </c>
      <c r="E239" t="s">
        <v>578</v>
      </c>
      <c r="F239" t="s">
        <v>1446</v>
      </c>
      <c r="G239" t="s">
        <v>2364</v>
      </c>
      <c r="H239" t="s">
        <v>3221</v>
      </c>
      <c r="I239" t="s">
        <v>3493</v>
      </c>
      <c r="J239">
        <v>10474</v>
      </c>
      <c r="K239" t="s">
        <v>3522</v>
      </c>
      <c r="L239" t="s">
        <v>3525</v>
      </c>
      <c r="M239" t="s">
        <v>3554</v>
      </c>
      <c r="N239" t="s">
        <v>4113</v>
      </c>
      <c r="O239" t="s">
        <v>4133</v>
      </c>
      <c r="Q239" t="s">
        <v>4147</v>
      </c>
      <c r="R239" t="s">
        <v>3523</v>
      </c>
      <c r="T239" t="s">
        <v>4156</v>
      </c>
      <c r="U239" t="s">
        <v>4168</v>
      </c>
      <c r="V239" t="s">
        <v>252</v>
      </c>
      <c r="W239">
        <v>309.6</v>
      </c>
      <c r="X239" t="s">
        <v>4194</v>
      </c>
      <c r="Y239" t="s">
        <v>4206</v>
      </c>
      <c r="Z239" t="s">
        <v>4428</v>
      </c>
      <c r="AB239" t="s">
        <v>5825</v>
      </c>
      <c r="AC239">
        <v>45</v>
      </c>
      <c r="AD239" t="s">
        <v>6780</v>
      </c>
      <c r="AF239">
        <v>42</v>
      </c>
      <c r="AG239">
        <v>1</v>
      </c>
      <c r="AH239">
        <v>0</v>
      </c>
      <c r="AI239">
        <v>36.41</v>
      </c>
      <c r="AL239" t="s">
        <v>6801</v>
      </c>
      <c r="AM239">
        <v>4548</v>
      </c>
    </row>
    <row r="240" spans="1:44">
      <c r="A240" s="1">
        <f>HYPERLINK("https://lsnyc.legalserver.org/matter/dynamic-profile/view/1896625","19-1896625")</f>
        <v>0</v>
      </c>
      <c r="B240" t="s">
        <v>54</v>
      </c>
      <c r="C240" t="s">
        <v>278</v>
      </c>
      <c r="E240" t="s">
        <v>579</v>
      </c>
      <c r="F240" t="s">
        <v>1447</v>
      </c>
      <c r="G240" t="s">
        <v>2189</v>
      </c>
      <c r="H240" t="s">
        <v>3222</v>
      </c>
      <c r="I240" t="s">
        <v>3490</v>
      </c>
      <c r="J240">
        <v>11233</v>
      </c>
      <c r="K240" t="s">
        <v>3522</v>
      </c>
      <c r="L240" t="s">
        <v>3525</v>
      </c>
      <c r="M240" t="s">
        <v>3551</v>
      </c>
      <c r="N240" t="s">
        <v>4110</v>
      </c>
      <c r="O240" t="s">
        <v>4137</v>
      </c>
      <c r="Q240" t="s">
        <v>4147</v>
      </c>
      <c r="T240" t="s">
        <v>4156</v>
      </c>
      <c r="U240" t="s">
        <v>4168</v>
      </c>
      <c r="V240" t="s">
        <v>336</v>
      </c>
      <c r="W240">
        <v>1056</v>
      </c>
      <c r="X240" t="s">
        <v>4193</v>
      </c>
      <c r="Z240" t="s">
        <v>4429</v>
      </c>
      <c r="AC240">
        <v>359</v>
      </c>
      <c r="AD240" t="s">
        <v>6772</v>
      </c>
      <c r="AE240" t="s">
        <v>3526</v>
      </c>
      <c r="AF240">
        <v>9</v>
      </c>
      <c r="AG240">
        <v>2</v>
      </c>
      <c r="AH240">
        <v>0</v>
      </c>
      <c r="AI240">
        <v>37.21</v>
      </c>
      <c r="AL240" t="s">
        <v>6801</v>
      </c>
      <c r="AM240">
        <v>6292</v>
      </c>
      <c r="AN240" t="s">
        <v>6832</v>
      </c>
    </row>
    <row r="241" spans="1:44">
      <c r="A241" s="1">
        <f>HYPERLINK("https://lsnyc.legalserver.org/matter/dynamic-profile/view/1896627","19-1896627")</f>
        <v>0</v>
      </c>
      <c r="B241" t="s">
        <v>54</v>
      </c>
      <c r="C241" t="s">
        <v>278</v>
      </c>
      <c r="E241" t="s">
        <v>579</v>
      </c>
      <c r="F241" t="s">
        <v>1447</v>
      </c>
      <c r="G241" t="s">
        <v>2189</v>
      </c>
      <c r="H241" t="s">
        <v>3222</v>
      </c>
      <c r="I241" t="s">
        <v>3490</v>
      </c>
      <c r="J241">
        <v>11233</v>
      </c>
      <c r="K241" t="s">
        <v>3522</v>
      </c>
      <c r="L241" t="s">
        <v>3525</v>
      </c>
      <c r="N241" t="s">
        <v>4112</v>
      </c>
      <c r="O241" t="s">
        <v>4135</v>
      </c>
      <c r="Q241" t="s">
        <v>4147</v>
      </c>
      <c r="R241" t="s">
        <v>3522</v>
      </c>
      <c r="T241" t="s">
        <v>4156</v>
      </c>
      <c r="U241" t="s">
        <v>4168</v>
      </c>
      <c r="V241" t="s">
        <v>336</v>
      </c>
      <c r="W241">
        <v>1056</v>
      </c>
      <c r="X241" t="s">
        <v>4193</v>
      </c>
      <c r="Z241" t="s">
        <v>4429</v>
      </c>
      <c r="AC241">
        <v>359</v>
      </c>
      <c r="AD241" t="s">
        <v>6772</v>
      </c>
      <c r="AE241" t="s">
        <v>3526</v>
      </c>
      <c r="AF241">
        <v>9</v>
      </c>
      <c r="AG241">
        <v>2</v>
      </c>
      <c r="AH241">
        <v>0</v>
      </c>
      <c r="AI241">
        <v>37.21</v>
      </c>
      <c r="AL241" t="s">
        <v>6801</v>
      </c>
      <c r="AM241">
        <v>6292</v>
      </c>
      <c r="AN241" t="s">
        <v>6833</v>
      </c>
    </row>
    <row r="242" spans="1:44">
      <c r="A242" s="1">
        <f>HYPERLINK("https://lsnyc.legalserver.org/matter/dynamic-profile/view/1907242","19-1907242")</f>
        <v>0</v>
      </c>
      <c r="B242" t="s">
        <v>45</v>
      </c>
      <c r="C242" t="s">
        <v>225</v>
      </c>
      <c r="E242" t="s">
        <v>580</v>
      </c>
      <c r="F242" t="s">
        <v>1448</v>
      </c>
      <c r="G242" t="s">
        <v>2365</v>
      </c>
      <c r="I242" t="s">
        <v>3480</v>
      </c>
      <c r="J242">
        <v>11436</v>
      </c>
      <c r="K242" t="s">
        <v>3522</v>
      </c>
      <c r="L242" t="s">
        <v>3525</v>
      </c>
      <c r="M242" t="s">
        <v>3647</v>
      </c>
      <c r="N242" t="s">
        <v>4109</v>
      </c>
      <c r="O242" t="s">
        <v>4134</v>
      </c>
      <c r="Q242" t="s">
        <v>4147</v>
      </c>
      <c r="R242" t="s">
        <v>3523</v>
      </c>
      <c r="T242" t="s">
        <v>4156</v>
      </c>
      <c r="U242" t="s">
        <v>4168</v>
      </c>
      <c r="V242" t="s">
        <v>225</v>
      </c>
      <c r="W242">
        <v>1554</v>
      </c>
      <c r="X242" t="s">
        <v>4192</v>
      </c>
      <c r="Y242" t="s">
        <v>4197</v>
      </c>
      <c r="Z242" t="s">
        <v>4430</v>
      </c>
      <c r="AA242" t="s">
        <v>5531</v>
      </c>
      <c r="AB242" t="s">
        <v>5826</v>
      </c>
      <c r="AC242">
        <v>3</v>
      </c>
      <c r="AD242" t="s">
        <v>5524</v>
      </c>
      <c r="AE242" t="s">
        <v>6788</v>
      </c>
      <c r="AF242">
        <v>-1</v>
      </c>
      <c r="AG242">
        <v>1</v>
      </c>
      <c r="AH242">
        <v>0</v>
      </c>
      <c r="AI242">
        <v>37.28</v>
      </c>
      <c r="AL242" t="s">
        <v>6801</v>
      </c>
      <c r="AM242">
        <v>4656</v>
      </c>
      <c r="AP242" t="s">
        <v>4200</v>
      </c>
    </row>
    <row r="243" spans="1:44">
      <c r="A243" s="1">
        <f>HYPERLINK("https://lsnyc.legalserver.org/matter/dynamic-profile/view/1915469","19-1915469")</f>
        <v>0</v>
      </c>
      <c r="B243" t="s">
        <v>99</v>
      </c>
      <c r="C243" t="s">
        <v>258</v>
      </c>
      <c r="D243" t="s">
        <v>240</v>
      </c>
      <c r="E243" t="s">
        <v>581</v>
      </c>
      <c r="F243" t="s">
        <v>1449</v>
      </c>
      <c r="G243" t="s">
        <v>2366</v>
      </c>
      <c r="H243" t="s">
        <v>3158</v>
      </c>
      <c r="I243" t="s">
        <v>3495</v>
      </c>
      <c r="J243">
        <v>10034</v>
      </c>
      <c r="K243" t="s">
        <v>3522</v>
      </c>
      <c r="L243" t="s">
        <v>3525</v>
      </c>
      <c r="M243" t="s">
        <v>3648</v>
      </c>
      <c r="N243" t="s">
        <v>4109</v>
      </c>
      <c r="O243" t="s">
        <v>4134</v>
      </c>
      <c r="P243" t="s">
        <v>4144</v>
      </c>
      <c r="Q243" t="s">
        <v>4147</v>
      </c>
      <c r="R243" t="s">
        <v>3523</v>
      </c>
      <c r="T243" t="s">
        <v>4156</v>
      </c>
      <c r="U243" t="s">
        <v>4168</v>
      </c>
      <c r="V243" t="s">
        <v>258</v>
      </c>
      <c r="W243">
        <v>1300</v>
      </c>
      <c r="X243" t="s">
        <v>4196</v>
      </c>
      <c r="Y243" t="s">
        <v>4201</v>
      </c>
      <c r="Z243" t="s">
        <v>4431</v>
      </c>
      <c r="AB243" t="s">
        <v>5827</v>
      </c>
      <c r="AC243">
        <v>66</v>
      </c>
      <c r="AD243" t="s">
        <v>6772</v>
      </c>
      <c r="AE243" t="s">
        <v>3526</v>
      </c>
      <c r="AF243">
        <v>3</v>
      </c>
      <c r="AG243">
        <v>2</v>
      </c>
      <c r="AH243">
        <v>0</v>
      </c>
      <c r="AI243">
        <v>37.85</v>
      </c>
      <c r="AL243" t="s">
        <v>6801</v>
      </c>
      <c r="AM243">
        <v>6400</v>
      </c>
      <c r="AO243" t="s">
        <v>6920</v>
      </c>
      <c r="AP243" t="s">
        <v>6924</v>
      </c>
      <c r="AQ243" t="s">
        <v>6945</v>
      </c>
      <c r="AR243" t="s">
        <v>6965</v>
      </c>
    </row>
    <row r="244" spans="1:44">
      <c r="A244" s="1">
        <f>HYPERLINK("https://lsnyc.legalserver.org/matter/dynamic-profile/view/1904688","19-1904688")</f>
        <v>0</v>
      </c>
      <c r="B244" t="s">
        <v>119</v>
      </c>
      <c r="C244" t="s">
        <v>246</v>
      </c>
      <c r="E244" t="s">
        <v>582</v>
      </c>
      <c r="F244" t="s">
        <v>1450</v>
      </c>
      <c r="G244" t="s">
        <v>2367</v>
      </c>
      <c r="H244" t="s">
        <v>3223</v>
      </c>
      <c r="I244" t="s">
        <v>3495</v>
      </c>
      <c r="J244">
        <v>10128</v>
      </c>
      <c r="K244" t="s">
        <v>3522</v>
      </c>
      <c r="L244" t="s">
        <v>3527</v>
      </c>
      <c r="M244" t="s">
        <v>3649</v>
      </c>
      <c r="N244" t="s">
        <v>4107</v>
      </c>
      <c r="O244" t="s">
        <v>4134</v>
      </c>
      <c r="Q244" t="s">
        <v>4147</v>
      </c>
      <c r="R244" t="s">
        <v>3523</v>
      </c>
      <c r="T244" t="s">
        <v>4156</v>
      </c>
      <c r="V244" t="s">
        <v>246</v>
      </c>
      <c r="W244">
        <v>918</v>
      </c>
      <c r="X244" t="s">
        <v>4196</v>
      </c>
      <c r="Y244" t="s">
        <v>4206</v>
      </c>
      <c r="Z244" t="s">
        <v>4432</v>
      </c>
      <c r="AA244" t="s">
        <v>5532</v>
      </c>
      <c r="AB244" t="s">
        <v>5828</v>
      </c>
      <c r="AC244">
        <v>37</v>
      </c>
      <c r="AD244" t="s">
        <v>6772</v>
      </c>
      <c r="AE244" t="s">
        <v>6790</v>
      </c>
      <c r="AF244">
        <v>21</v>
      </c>
      <c r="AG244">
        <v>1</v>
      </c>
      <c r="AH244">
        <v>0</v>
      </c>
      <c r="AI244">
        <v>37.89</v>
      </c>
      <c r="AL244" t="s">
        <v>6801</v>
      </c>
      <c r="AM244">
        <v>4732</v>
      </c>
    </row>
    <row r="245" spans="1:44">
      <c r="A245" s="1">
        <f>HYPERLINK("https://lsnyc.legalserver.org/matter/dynamic-profile/view/1910328","19-1910328")</f>
        <v>0</v>
      </c>
      <c r="B245" t="s">
        <v>79</v>
      </c>
      <c r="C245" t="s">
        <v>233</v>
      </c>
      <c r="E245" t="s">
        <v>507</v>
      </c>
      <c r="F245" t="s">
        <v>1451</v>
      </c>
      <c r="G245" t="s">
        <v>2368</v>
      </c>
      <c r="H245" t="s">
        <v>3224</v>
      </c>
      <c r="I245" t="s">
        <v>3493</v>
      </c>
      <c r="J245">
        <v>10453</v>
      </c>
      <c r="K245" t="s">
        <v>3522</v>
      </c>
      <c r="L245" t="s">
        <v>3525</v>
      </c>
      <c r="M245" t="s">
        <v>3650</v>
      </c>
      <c r="Q245" t="s">
        <v>4147</v>
      </c>
      <c r="R245" t="s">
        <v>3523</v>
      </c>
      <c r="T245" t="s">
        <v>4156</v>
      </c>
      <c r="V245" t="s">
        <v>233</v>
      </c>
      <c r="W245">
        <v>856.0599999999999</v>
      </c>
      <c r="X245" t="s">
        <v>4194</v>
      </c>
      <c r="Y245" t="s">
        <v>4201</v>
      </c>
      <c r="Z245" t="s">
        <v>4433</v>
      </c>
      <c r="AB245" t="s">
        <v>5829</v>
      </c>
      <c r="AC245">
        <v>170</v>
      </c>
      <c r="AD245" t="s">
        <v>6772</v>
      </c>
      <c r="AE245" t="s">
        <v>3526</v>
      </c>
      <c r="AF245">
        <v>23</v>
      </c>
      <c r="AG245">
        <v>2</v>
      </c>
      <c r="AH245">
        <v>2</v>
      </c>
      <c r="AI245">
        <v>37.93</v>
      </c>
      <c r="AL245" t="s">
        <v>6802</v>
      </c>
      <c r="AM245">
        <v>9768</v>
      </c>
    </row>
    <row r="246" spans="1:44">
      <c r="A246" s="1">
        <f>HYPERLINK("https://lsnyc.legalserver.org/matter/dynamic-profile/view/1908630","19-1908630")</f>
        <v>0</v>
      </c>
      <c r="B246" t="s">
        <v>63</v>
      </c>
      <c r="C246" t="s">
        <v>279</v>
      </c>
      <c r="E246" t="s">
        <v>583</v>
      </c>
      <c r="F246" t="s">
        <v>1452</v>
      </c>
      <c r="G246" t="s">
        <v>2369</v>
      </c>
      <c r="H246">
        <v>219</v>
      </c>
      <c r="I246" t="s">
        <v>3490</v>
      </c>
      <c r="J246">
        <v>11212</v>
      </c>
      <c r="K246" t="s">
        <v>3522</v>
      </c>
      <c r="L246" t="s">
        <v>3525</v>
      </c>
      <c r="M246" t="s">
        <v>3651</v>
      </c>
      <c r="N246" t="s">
        <v>4109</v>
      </c>
      <c r="O246" t="s">
        <v>4136</v>
      </c>
      <c r="Q246" t="s">
        <v>4147</v>
      </c>
      <c r="R246" t="s">
        <v>3523</v>
      </c>
      <c r="T246" t="s">
        <v>4156</v>
      </c>
      <c r="U246" t="s">
        <v>4168</v>
      </c>
      <c r="V246" t="s">
        <v>214</v>
      </c>
      <c r="W246">
        <v>895.23</v>
      </c>
      <c r="X246" t="s">
        <v>4193</v>
      </c>
      <c r="Y246" t="s">
        <v>4202</v>
      </c>
      <c r="Z246" t="s">
        <v>4434</v>
      </c>
      <c r="AA246" t="s">
        <v>5488</v>
      </c>
      <c r="AB246" t="s">
        <v>5830</v>
      </c>
      <c r="AC246">
        <v>132</v>
      </c>
      <c r="AD246" t="s">
        <v>6772</v>
      </c>
      <c r="AF246">
        <v>1</v>
      </c>
      <c r="AG246">
        <v>1</v>
      </c>
      <c r="AH246">
        <v>0</v>
      </c>
      <c r="AI246">
        <v>38.24</v>
      </c>
      <c r="AL246" t="s">
        <v>6801</v>
      </c>
      <c r="AM246">
        <v>4776</v>
      </c>
    </row>
    <row r="247" spans="1:44">
      <c r="A247" s="1">
        <f>HYPERLINK("https://lsnyc.legalserver.org/matter/dynamic-profile/view/1897622","19-1897622")</f>
        <v>0</v>
      </c>
      <c r="B247" t="s">
        <v>86</v>
      </c>
      <c r="C247" t="s">
        <v>280</v>
      </c>
      <c r="E247" t="s">
        <v>584</v>
      </c>
      <c r="F247" t="s">
        <v>679</v>
      </c>
      <c r="G247" t="s">
        <v>2370</v>
      </c>
      <c r="H247">
        <v>24</v>
      </c>
      <c r="I247" t="s">
        <v>3495</v>
      </c>
      <c r="J247">
        <v>10033</v>
      </c>
      <c r="K247" t="s">
        <v>3522</v>
      </c>
      <c r="L247" t="s">
        <v>3525</v>
      </c>
      <c r="M247" t="s">
        <v>3652</v>
      </c>
      <c r="N247" t="s">
        <v>4109</v>
      </c>
      <c r="O247" t="s">
        <v>4134</v>
      </c>
      <c r="Q247" t="s">
        <v>4147</v>
      </c>
      <c r="R247" t="s">
        <v>3523</v>
      </c>
      <c r="T247" t="s">
        <v>4156</v>
      </c>
      <c r="V247" t="s">
        <v>193</v>
      </c>
      <c r="W247">
        <v>816.66</v>
      </c>
      <c r="X247" t="s">
        <v>4196</v>
      </c>
      <c r="Y247" t="s">
        <v>4205</v>
      </c>
      <c r="Z247" t="s">
        <v>4435</v>
      </c>
      <c r="AB247" t="s">
        <v>5831</v>
      </c>
      <c r="AC247">
        <v>20</v>
      </c>
      <c r="AD247" t="s">
        <v>6772</v>
      </c>
      <c r="AE247" t="s">
        <v>3526</v>
      </c>
      <c r="AF247">
        <v>23</v>
      </c>
      <c r="AG247">
        <v>1</v>
      </c>
      <c r="AH247">
        <v>0</v>
      </c>
      <c r="AI247">
        <v>38.24</v>
      </c>
      <c r="AL247" t="s">
        <v>6802</v>
      </c>
      <c r="AM247">
        <v>4776</v>
      </c>
    </row>
    <row r="248" spans="1:44">
      <c r="A248" s="1">
        <f>HYPERLINK("https://lsnyc.legalserver.org/matter/dynamic-profile/view/1906765","19-1906765")</f>
        <v>0</v>
      </c>
      <c r="B248" t="s">
        <v>46</v>
      </c>
      <c r="C248" t="s">
        <v>235</v>
      </c>
      <c r="E248" t="s">
        <v>585</v>
      </c>
      <c r="F248" t="s">
        <v>1453</v>
      </c>
      <c r="G248" t="s">
        <v>2371</v>
      </c>
      <c r="I248" t="s">
        <v>3479</v>
      </c>
      <c r="J248">
        <v>11691</v>
      </c>
      <c r="K248" t="s">
        <v>3522</v>
      </c>
      <c r="L248" t="s">
        <v>3525</v>
      </c>
      <c r="M248" t="s">
        <v>3653</v>
      </c>
      <c r="N248" t="s">
        <v>4107</v>
      </c>
      <c r="O248" t="s">
        <v>4134</v>
      </c>
      <c r="Q248" t="s">
        <v>4147</v>
      </c>
      <c r="R248" t="s">
        <v>3523</v>
      </c>
      <c r="T248" t="s">
        <v>4156</v>
      </c>
      <c r="U248" t="s">
        <v>4168</v>
      </c>
      <c r="V248" t="s">
        <v>284</v>
      </c>
      <c r="W248">
        <v>1650</v>
      </c>
      <c r="X248" t="s">
        <v>4192</v>
      </c>
      <c r="Y248" t="s">
        <v>4214</v>
      </c>
      <c r="Z248" t="s">
        <v>4436</v>
      </c>
      <c r="AA248" t="s">
        <v>5482</v>
      </c>
      <c r="AB248" t="s">
        <v>5832</v>
      </c>
      <c r="AC248">
        <v>2</v>
      </c>
      <c r="AD248" t="s">
        <v>6771</v>
      </c>
      <c r="AE248" t="s">
        <v>3526</v>
      </c>
      <c r="AF248">
        <v>2</v>
      </c>
      <c r="AG248">
        <v>1</v>
      </c>
      <c r="AH248">
        <v>0</v>
      </c>
      <c r="AI248">
        <v>38.43</v>
      </c>
      <c r="AL248" t="s">
        <v>6801</v>
      </c>
      <c r="AM248">
        <v>4800</v>
      </c>
    </row>
    <row r="249" spans="1:44">
      <c r="A249" s="1">
        <f>HYPERLINK("https://lsnyc.legalserver.org/matter/dynamic-profile/view/1912848","19-1912848")</f>
        <v>0</v>
      </c>
      <c r="B249" t="s">
        <v>60</v>
      </c>
      <c r="C249" t="s">
        <v>253</v>
      </c>
      <c r="E249" t="s">
        <v>586</v>
      </c>
      <c r="F249" t="s">
        <v>1454</v>
      </c>
      <c r="G249" t="s">
        <v>2372</v>
      </c>
      <c r="H249" t="s">
        <v>3225</v>
      </c>
      <c r="I249" t="s">
        <v>3490</v>
      </c>
      <c r="J249">
        <v>11208</v>
      </c>
      <c r="K249" t="s">
        <v>3522</v>
      </c>
      <c r="L249" t="s">
        <v>3525</v>
      </c>
      <c r="M249" t="s">
        <v>3654</v>
      </c>
      <c r="N249" t="s">
        <v>4107</v>
      </c>
      <c r="O249" t="s">
        <v>4134</v>
      </c>
      <c r="Q249" t="s">
        <v>4147</v>
      </c>
      <c r="R249" t="s">
        <v>3523</v>
      </c>
      <c r="T249" t="s">
        <v>4156</v>
      </c>
      <c r="U249" t="s">
        <v>4168</v>
      </c>
      <c r="V249" t="s">
        <v>359</v>
      </c>
      <c r="W249">
        <v>800</v>
      </c>
      <c r="X249" t="s">
        <v>4193</v>
      </c>
      <c r="Y249" t="s">
        <v>4197</v>
      </c>
      <c r="Z249" t="s">
        <v>4437</v>
      </c>
      <c r="AA249">
        <v>6270460</v>
      </c>
      <c r="AB249" t="s">
        <v>5833</v>
      </c>
      <c r="AC249">
        <v>3</v>
      </c>
      <c r="AD249" t="s">
        <v>6771</v>
      </c>
      <c r="AE249" t="s">
        <v>6787</v>
      </c>
      <c r="AF249">
        <v>1</v>
      </c>
      <c r="AG249">
        <v>1</v>
      </c>
      <c r="AH249">
        <v>0</v>
      </c>
      <c r="AI249">
        <v>38.43</v>
      </c>
      <c r="AL249" t="s">
        <v>6801</v>
      </c>
      <c r="AM249">
        <v>4800</v>
      </c>
    </row>
    <row r="250" spans="1:44">
      <c r="A250" s="1">
        <f>HYPERLINK("https://lsnyc.legalserver.org/matter/dynamic-profile/view/1909791","19-1909791")</f>
        <v>0</v>
      </c>
      <c r="B250" t="s">
        <v>106</v>
      </c>
      <c r="C250" t="s">
        <v>227</v>
      </c>
      <c r="D250" t="s">
        <v>318</v>
      </c>
      <c r="E250" t="s">
        <v>388</v>
      </c>
      <c r="F250" t="s">
        <v>1330</v>
      </c>
      <c r="G250" t="s">
        <v>2231</v>
      </c>
      <c r="I250" t="s">
        <v>3493</v>
      </c>
      <c r="J250">
        <v>10457</v>
      </c>
      <c r="K250" t="s">
        <v>3522</v>
      </c>
      <c r="L250" t="s">
        <v>3525</v>
      </c>
      <c r="M250" t="s">
        <v>3655</v>
      </c>
      <c r="N250" t="s">
        <v>4109</v>
      </c>
      <c r="O250" t="s">
        <v>4132</v>
      </c>
      <c r="P250" t="s">
        <v>4139</v>
      </c>
      <c r="Q250" t="s">
        <v>4147</v>
      </c>
      <c r="R250" t="s">
        <v>3523</v>
      </c>
      <c r="T250" t="s">
        <v>4159</v>
      </c>
      <c r="V250" t="s">
        <v>198</v>
      </c>
      <c r="W250">
        <v>0</v>
      </c>
      <c r="X250" t="s">
        <v>4194</v>
      </c>
      <c r="Z250" t="s">
        <v>4286</v>
      </c>
      <c r="AC250">
        <v>95</v>
      </c>
      <c r="AD250" t="s">
        <v>6772</v>
      </c>
      <c r="AE250" t="s">
        <v>3526</v>
      </c>
      <c r="AF250">
        <v>0</v>
      </c>
      <c r="AG250">
        <v>1</v>
      </c>
      <c r="AH250">
        <v>0</v>
      </c>
      <c r="AI250">
        <v>38.43</v>
      </c>
      <c r="AL250" t="s">
        <v>6801</v>
      </c>
      <c r="AM250">
        <v>4800</v>
      </c>
    </row>
    <row r="251" spans="1:44">
      <c r="A251" s="1">
        <f>HYPERLINK("https://lsnyc.legalserver.org/matter/dynamic-profile/view/1913308","19-1913308")</f>
        <v>0</v>
      </c>
      <c r="B251" t="s">
        <v>99</v>
      </c>
      <c r="C251" t="s">
        <v>192</v>
      </c>
      <c r="E251" t="s">
        <v>478</v>
      </c>
      <c r="F251" t="s">
        <v>1455</v>
      </c>
      <c r="G251" t="s">
        <v>2373</v>
      </c>
      <c r="H251">
        <v>201</v>
      </c>
      <c r="I251" t="s">
        <v>3495</v>
      </c>
      <c r="J251">
        <v>10029</v>
      </c>
      <c r="K251" t="s">
        <v>3522</v>
      </c>
      <c r="L251" t="s">
        <v>3525</v>
      </c>
      <c r="N251" t="s">
        <v>4108</v>
      </c>
      <c r="O251" t="s">
        <v>4132</v>
      </c>
      <c r="Q251" t="s">
        <v>4147</v>
      </c>
      <c r="R251" t="s">
        <v>3522</v>
      </c>
      <c r="T251" t="s">
        <v>4156</v>
      </c>
      <c r="U251" t="s">
        <v>4168</v>
      </c>
      <c r="V251" t="s">
        <v>359</v>
      </c>
      <c r="W251">
        <v>48</v>
      </c>
      <c r="X251" t="s">
        <v>4196</v>
      </c>
      <c r="Y251" t="s">
        <v>4201</v>
      </c>
      <c r="Z251" t="s">
        <v>4438</v>
      </c>
      <c r="AC251">
        <v>108</v>
      </c>
      <c r="AD251" t="s">
        <v>6778</v>
      </c>
      <c r="AE251" t="s">
        <v>6786</v>
      </c>
      <c r="AF251">
        <v>10</v>
      </c>
      <c r="AG251">
        <v>1</v>
      </c>
      <c r="AH251">
        <v>1</v>
      </c>
      <c r="AI251">
        <v>38.44</v>
      </c>
      <c r="AL251" t="s">
        <v>6801</v>
      </c>
      <c r="AM251">
        <v>6500</v>
      </c>
      <c r="AN251" t="s">
        <v>6834</v>
      </c>
    </row>
    <row r="252" spans="1:44">
      <c r="A252" s="1">
        <f>HYPERLINK("https://lsnyc.legalserver.org/matter/dynamic-profile/view/1887107","19-1887107")</f>
        <v>0</v>
      </c>
      <c r="B252" t="s">
        <v>120</v>
      </c>
      <c r="C252" t="s">
        <v>281</v>
      </c>
      <c r="E252" t="s">
        <v>570</v>
      </c>
      <c r="F252" t="s">
        <v>1456</v>
      </c>
      <c r="G252" t="s">
        <v>2374</v>
      </c>
      <c r="H252" t="s">
        <v>3221</v>
      </c>
      <c r="I252" t="s">
        <v>3494</v>
      </c>
      <c r="J252">
        <v>10301</v>
      </c>
      <c r="K252" t="s">
        <v>3522</v>
      </c>
      <c r="L252" t="s">
        <v>3525</v>
      </c>
      <c r="M252" t="s">
        <v>3656</v>
      </c>
      <c r="N252" t="s">
        <v>4107</v>
      </c>
      <c r="O252" t="s">
        <v>4134</v>
      </c>
      <c r="Q252" t="s">
        <v>4147</v>
      </c>
      <c r="R252" t="s">
        <v>3523</v>
      </c>
      <c r="T252" t="s">
        <v>4156</v>
      </c>
      <c r="U252" t="s">
        <v>4168</v>
      </c>
      <c r="V252" t="s">
        <v>336</v>
      </c>
      <c r="W252">
        <v>2200</v>
      </c>
      <c r="X252" t="s">
        <v>4195</v>
      </c>
      <c r="Y252" t="s">
        <v>4203</v>
      </c>
      <c r="Z252" t="s">
        <v>4439</v>
      </c>
      <c r="AB252" t="s">
        <v>5834</v>
      </c>
      <c r="AC252">
        <v>227</v>
      </c>
      <c r="AD252" t="s">
        <v>6778</v>
      </c>
      <c r="AE252" t="s">
        <v>3526</v>
      </c>
      <c r="AF252">
        <v>5</v>
      </c>
      <c r="AG252">
        <v>2</v>
      </c>
      <c r="AH252">
        <v>0</v>
      </c>
      <c r="AI252">
        <v>38.64</v>
      </c>
      <c r="AL252" t="s">
        <v>6801</v>
      </c>
      <c r="AM252">
        <v>6360</v>
      </c>
    </row>
    <row r="253" spans="1:44">
      <c r="A253" s="1">
        <f>HYPERLINK("https://lsnyc.legalserver.org/matter/dynamic-profile/view/1910736","19-1910736")</f>
        <v>0</v>
      </c>
      <c r="B253" t="s">
        <v>46</v>
      </c>
      <c r="C253" t="s">
        <v>257</v>
      </c>
      <c r="E253" t="s">
        <v>587</v>
      </c>
      <c r="F253" t="s">
        <v>1457</v>
      </c>
      <c r="G253" t="s">
        <v>2375</v>
      </c>
      <c r="H253" t="s">
        <v>3127</v>
      </c>
      <c r="I253" t="s">
        <v>3484</v>
      </c>
      <c r="J253">
        <v>11412</v>
      </c>
      <c r="K253" t="s">
        <v>3522</v>
      </c>
      <c r="L253" t="s">
        <v>3525</v>
      </c>
      <c r="M253" t="s">
        <v>3657</v>
      </c>
      <c r="N253" t="s">
        <v>4107</v>
      </c>
      <c r="O253" t="s">
        <v>4132</v>
      </c>
      <c r="Q253" t="s">
        <v>4147</v>
      </c>
      <c r="R253" t="s">
        <v>3523</v>
      </c>
      <c r="T253" t="s">
        <v>4156</v>
      </c>
      <c r="U253" t="s">
        <v>4168</v>
      </c>
      <c r="V253" t="s">
        <v>257</v>
      </c>
      <c r="W253">
        <v>1250</v>
      </c>
      <c r="X253" t="s">
        <v>4192</v>
      </c>
      <c r="Y253" t="s">
        <v>4197</v>
      </c>
      <c r="Z253" t="s">
        <v>4440</v>
      </c>
      <c r="AA253" t="s">
        <v>5533</v>
      </c>
      <c r="AB253" t="s">
        <v>5835</v>
      </c>
      <c r="AC253">
        <v>2</v>
      </c>
      <c r="AD253" t="s">
        <v>5524</v>
      </c>
      <c r="AE253" t="s">
        <v>3526</v>
      </c>
      <c r="AF253">
        <v>12</v>
      </c>
      <c r="AG253">
        <v>1</v>
      </c>
      <c r="AH253">
        <v>0</v>
      </c>
      <c r="AI253">
        <v>39.14</v>
      </c>
      <c r="AL253" t="s">
        <v>6801</v>
      </c>
      <c r="AM253">
        <v>4888</v>
      </c>
    </row>
    <row r="254" spans="1:44">
      <c r="A254" s="1">
        <f>HYPERLINK("https://lsnyc.legalserver.org/matter/dynamic-profile/view/1912915","19-1912915")</f>
        <v>0</v>
      </c>
      <c r="B254" t="s">
        <v>121</v>
      </c>
      <c r="C254" t="s">
        <v>196</v>
      </c>
      <c r="D254" t="s">
        <v>189</v>
      </c>
      <c r="E254" t="s">
        <v>588</v>
      </c>
      <c r="F254" t="s">
        <v>1458</v>
      </c>
      <c r="G254" t="s">
        <v>2249</v>
      </c>
      <c r="H254" t="s">
        <v>3226</v>
      </c>
      <c r="I254" t="s">
        <v>3495</v>
      </c>
      <c r="J254">
        <v>10037</v>
      </c>
      <c r="K254" t="s">
        <v>3522</v>
      </c>
      <c r="L254" t="s">
        <v>3525</v>
      </c>
      <c r="N254" t="s">
        <v>3554</v>
      </c>
      <c r="O254" t="s">
        <v>4132</v>
      </c>
      <c r="P254" t="s">
        <v>4139</v>
      </c>
      <c r="Q254" t="s">
        <v>4147</v>
      </c>
      <c r="R254" t="s">
        <v>3523</v>
      </c>
      <c r="T254" t="s">
        <v>4156</v>
      </c>
      <c r="U254" t="s">
        <v>4168</v>
      </c>
      <c r="V254" t="s">
        <v>196</v>
      </c>
      <c r="W254">
        <v>2235</v>
      </c>
      <c r="X254" t="s">
        <v>4196</v>
      </c>
      <c r="Y254" t="s">
        <v>4198</v>
      </c>
      <c r="Z254" t="s">
        <v>4441</v>
      </c>
      <c r="AB254" t="s">
        <v>5836</v>
      </c>
      <c r="AC254">
        <v>259</v>
      </c>
      <c r="AD254" t="s">
        <v>6772</v>
      </c>
      <c r="AF254">
        <v>4</v>
      </c>
      <c r="AG254">
        <v>1</v>
      </c>
      <c r="AH254">
        <v>0</v>
      </c>
      <c r="AI254">
        <v>39.14</v>
      </c>
      <c r="AL254" t="s">
        <v>6801</v>
      </c>
      <c r="AM254">
        <v>4888</v>
      </c>
    </row>
    <row r="255" spans="1:44">
      <c r="A255" s="1">
        <f>HYPERLINK("https://lsnyc.legalserver.org/matter/dynamic-profile/view/1904893","19-1904893")</f>
        <v>0</v>
      </c>
      <c r="B255" t="s">
        <v>45</v>
      </c>
      <c r="C255" t="s">
        <v>272</v>
      </c>
      <c r="E255" t="s">
        <v>404</v>
      </c>
      <c r="F255" t="s">
        <v>1459</v>
      </c>
      <c r="G255" t="s">
        <v>2376</v>
      </c>
      <c r="H255" t="s">
        <v>3227</v>
      </c>
      <c r="I255" t="s">
        <v>3483</v>
      </c>
      <c r="J255">
        <v>11417</v>
      </c>
      <c r="K255" t="s">
        <v>3522</v>
      </c>
      <c r="L255" t="s">
        <v>3525</v>
      </c>
      <c r="M255" t="s">
        <v>3658</v>
      </c>
      <c r="N255" t="s">
        <v>4107</v>
      </c>
      <c r="O255" t="s">
        <v>4134</v>
      </c>
      <c r="Q255" t="s">
        <v>4147</v>
      </c>
      <c r="R255" t="s">
        <v>3523</v>
      </c>
      <c r="T255" t="s">
        <v>4156</v>
      </c>
      <c r="U255" t="s">
        <v>4168</v>
      </c>
      <c r="V255" t="s">
        <v>298</v>
      </c>
      <c r="W255">
        <v>800</v>
      </c>
      <c r="X255" t="s">
        <v>4192</v>
      </c>
      <c r="Y255" t="s">
        <v>4197</v>
      </c>
      <c r="Z255" t="s">
        <v>4442</v>
      </c>
      <c r="AB255" t="s">
        <v>5837</v>
      </c>
      <c r="AC255">
        <v>2</v>
      </c>
      <c r="AD255" t="s">
        <v>6771</v>
      </c>
      <c r="AE255" t="s">
        <v>3526</v>
      </c>
      <c r="AF255">
        <v>6</v>
      </c>
      <c r="AG255">
        <v>1</v>
      </c>
      <c r="AH255">
        <v>2</v>
      </c>
      <c r="AI255">
        <v>39.38</v>
      </c>
      <c r="AL255" t="s">
        <v>6801</v>
      </c>
      <c r="AM255">
        <v>8400</v>
      </c>
      <c r="AP255" t="s">
        <v>6926</v>
      </c>
    </row>
    <row r="256" spans="1:44">
      <c r="A256" s="1">
        <f>HYPERLINK("https://lsnyc.legalserver.org/matter/dynamic-profile/view/1915483","19-1915483")</f>
        <v>0</v>
      </c>
      <c r="B256" t="s">
        <v>89</v>
      </c>
      <c r="C256" t="s">
        <v>258</v>
      </c>
      <c r="E256" t="s">
        <v>589</v>
      </c>
      <c r="F256" t="s">
        <v>1460</v>
      </c>
      <c r="G256" t="s">
        <v>2377</v>
      </c>
      <c r="H256" t="s">
        <v>3154</v>
      </c>
      <c r="I256" t="s">
        <v>3495</v>
      </c>
      <c r="J256">
        <v>10002</v>
      </c>
      <c r="K256" t="s">
        <v>3522</v>
      </c>
      <c r="L256" t="s">
        <v>3525</v>
      </c>
      <c r="O256" t="s">
        <v>4136</v>
      </c>
      <c r="Q256" t="s">
        <v>4147</v>
      </c>
      <c r="R256" t="s">
        <v>3523</v>
      </c>
      <c r="T256" t="s">
        <v>4156</v>
      </c>
      <c r="V256" t="s">
        <v>258</v>
      </c>
      <c r="W256">
        <v>0</v>
      </c>
      <c r="X256" t="s">
        <v>4196</v>
      </c>
      <c r="Y256" t="s">
        <v>4198</v>
      </c>
      <c r="Z256" t="s">
        <v>4443</v>
      </c>
      <c r="AC256">
        <v>200</v>
      </c>
      <c r="AD256" t="s">
        <v>5524</v>
      </c>
      <c r="AE256" t="s">
        <v>6786</v>
      </c>
      <c r="AF256">
        <v>40</v>
      </c>
      <c r="AG256">
        <v>3</v>
      </c>
      <c r="AH256">
        <v>0</v>
      </c>
      <c r="AI256">
        <v>39.38</v>
      </c>
      <c r="AL256" t="s">
        <v>6801</v>
      </c>
      <c r="AM256">
        <v>8400</v>
      </c>
    </row>
    <row r="257" spans="1:44">
      <c r="A257" s="1">
        <f>HYPERLINK("https://lsnyc.legalserver.org/matter/dynamic-profile/view/1904493","19-1904493")</f>
        <v>0</v>
      </c>
      <c r="B257" t="s">
        <v>89</v>
      </c>
      <c r="C257" t="s">
        <v>261</v>
      </c>
      <c r="E257" t="s">
        <v>590</v>
      </c>
      <c r="F257" t="s">
        <v>1461</v>
      </c>
      <c r="G257" t="s">
        <v>2378</v>
      </c>
      <c r="H257" t="s">
        <v>3194</v>
      </c>
      <c r="I257" t="s">
        <v>3495</v>
      </c>
      <c r="J257">
        <v>10033</v>
      </c>
      <c r="K257" t="s">
        <v>3522</v>
      </c>
      <c r="L257" t="s">
        <v>3525</v>
      </c>
      <c r="O257" t="s">
        <v>4134</v>
      </c>
      <c r="Q257" t="s">
        <v>4147</v>
      </c>
      <c r="R257" t="s">
        <v>3523</v>
      </c>
      <c r="T257" t="s">
        <v>4156</v>
      </c>
      <c r="V257" t="s">
        <v>261</v>
      </c>
      <c r="W257">
        <v>1213</v>
      </c>
      <c r="X257" t="s">
        <v>4196</v>
      </c>
      <c r="Y257" t="s">
        <v>4201</v>
      </c>
      <c r="Z257" t="s">
        <v>4444</v>
      </c>
      <c r="AB257" t="s">
        <v>5838</v>
      </c>
      <c r="AC257">
        <v>24</v>
      </c>
      <c r="AE257" t="s">
        <v>6792</v>
      </c>
      <c r="AF257">
        <v>4</v>
      </c>
      <c r="AG257">
        <v>1</v>
      </c>
      <c r="AH257">
        <v>0</v>
      </c>
      <c r="AI257">
        <v>39.41</v>
      </c>
      <c r="AL257" t="s">
        <v>6801</v>
      </c>
      <c r="AM257">
        <v>4922</v>
      </c>
    </row>
    <row r="258" spans="1:44">
      <c r="A258" s="1">
        <f>HYPERLINK("https://lsnyc.legalserver.org/matter/dynamic-profile/view/1900699","19-1900699")</f>
        <v>0</v>
      </c>
      <c r="B258" t="s">
        <v>122</v>
      </c>
      <c r="C258" t="s">
        <v>282</v>
      </c>
      <c r="D258" t="s">
        <v>204</v>
      </c>
      <c r="E258" t="s">
        <v>591</v>
      </c>
      <c r="F258" t="s">
        <v>1462</v>
      </c>
      <c r="G258" t="s">
        <v>2379</v>
      </c>
      <c r="I258" t="s">
        <v>3498</v>
      </c>
      <c r="J258">
        <v>11415</v>
      </c>
      <c r="K258" t="s">
        <v>3522</v>
      </c>
      <c r="L258" t="s">
        <v>3525</v>
      </c>
      <c r="N258" t="s">
        <v>3554</v>
      </c>
      <c r="O258" t="s">
        <v>4133</v>
      </c>
      <c r="P258" t="s">
        <v>4142</v>
      </c>
      <c r="Q258" t="s">
        <v>4147</v>
      </c>
      <c r="R258" t="s">
        <v>3523</v>
      </c>
      <c r="T258" t="s">
        <v>4156</v>
      </c>
      <c r="U258" t="s">
        <v>4168</v>
      </c>
      <c r="V258" t="s">
        <v>222</v>
      </c>
      <c r="W258">
        <v>1800</v>
      </c>
      <c r="X258" t="s">
        <v>4192</v>
      </c>
      <c r="Y258" t="s">
        <v>4201</v>
      </c>
      <c r="Z258" t="s">
        <v>4445</v>
      </c>
      <c r="AA258" t="s">
        <v>5534</v>
      </c>
      <c r="AB258" t="s">
        <v>5839</v>
      </c>
      <c r="AC258">
        <v>50</v>
      </c>
      <c r="AD258" t="s">
        <v>6772</v>
      </c>
      <c r="AE258" t="s">
        <v>6788</v>
      </c>
      <c r="AF258">
        <v>4</v>
      </c>
      <c r="AG258">
        <v>2</v>
      </c>
      <c r="AH258">
        <v>3</v>
      </c>
      <c r="AI258">
        <v>39.77</v>
      </c>
      <c r="AL258" t="s">
        <v>6809</v>
      </c>
      <c r="AM258">
        <v>12000</v>
      </c>
    </row>
    <row r="259" spans="1:44">
      <c r="A259" s="1">
        <f>HYPERLINK("https://lsnyc.legalserver.org/matter/dynamic-profile/view/1905846","19-1905846")</f>
        <v>0</v>
      </c>
      <c r="B259" t="s">
        <v>104</v>
      </c>
      <c r="C259" t="s">
        <v>232</v>
      </c>
      <c r="D259" t="s">
        <v>273</v>
      </c>
      <c r="E259" t="s">
        <v>592</v>
      </c>
      <c r="F259" t="s">
        <v>1463</v>
      </c>
      <c r="G259" t="s">
        <v>2380</v>
      </c>
      <c r="H259" t="s">
        <v>3228</v>
      </c>
      <c r="I259" t="s">
        <v>3493</v>
      </c>
      <c r="J259">
        <v>10452</v>
      </c>
      <c r="K259" t="s">
        <v>3522</v>
      </c>
      <c r="L259" t="s">
        <v>3525</v>
      </c>
      <c r="M259" t="s">
        <v>3562</v>
      </c>
      <c r="O259" t="s">
        <v>4132</v>
      </c>
      <c r="P259" t="s">
        <v>4139</v>
      </c>
      <c r="Q259" t="s">
        <v>4147</v>
      </c>
      <c r="R259" t="s">
        <v>3523</v>
      </c>
      <c r="T259" t="s">
        <v>4156</v>
      </c>
      <c r="V259" t="s">
        <v>241</v>
      </c>
      <c r="W259">
        <v>1075</v>
      </c>
      <c r="X259" t="s">
        <v>4194</v>
      </c>
      <c r="Y259" t="s">
        <v>4206</v>
      </c>
      <c r="Z259" t="s">
        <v>4446</v>
      </c>
      <c r="AA259" t="s">
        <v>5535</v>
      </c>
      <c r="AC259">
        <v>58</v>
      </c>
      <c r="AD259" t="s">
        <v>6782</v>
      </c>
      <c r="AE259" t="s">
        <v>6788</v>
      </c>
      <c r="AF259">
        <v>8</v>
      </c>
      <c r="AG259">
        <v>2</v>
      </c>
      <c r="AH259">
        <v>3</v>
      </c>
      <c r="AI259">
        <v>39.77</v>
      </c>
      <c r="AL259" t="s">
        <v>6801</v>
      </c>
      <c r="AM259">
        <v>12000</v>
      </c>
    </row>
    <row r="260" spans="1:44">
      <c r="A260" s="1">
        <f>HYPERLINK("https://lsnyc.legalserver.org/matter/dynamic-profile/view/1910445","19-1910445")</f>
        <v>0</v>
      </c>
      <c r="B260" t="s">
        <v>123</v>
      </c>
      <c r="C260" t="s">
        <v>214</v>
      </c>
      <c r="D260" t="s">
        <v>258</v>
      </c>
      <c r="E260" t="s">
        <v>593</v>
      </c>
      <c r="F260" t="s">
        <v>1464</v>
      </c>
      <c r="G260" t="s">
        <v>2381</v>
      </c>
      <c r="H260" t="s">
        <v>3170</v>
      </c>
      <c r="I260" t="s">
        <v>3495</v>
      </c>
      <c r="J260">
        <v>10032</v>
      </c>
      <c r="K260" t="s">
        <v>3522</v>
      </c>
      <c r="L260" t="s">
        <v>3525</v>
      </c>
      <c r="N260" t="s">
        <v>3554</v>
      </c>
      <c r="O260" t="s">
        <v>4132</v>
      </c>
      <c r="P260" t="s">
        <v>4139</v>
      </c>
      <c r="Q260" t="s">
        <v>4147</v>
      </c>
      <c r="R260" t="s">
        <v>3523</v>
      </c>
      <c r="T260" t="s">
        <v>4156</v>
      </c>
      <c r="V260" t="s">
        <v>214</v>
      </c>
      <c r="W260">
        <v>2195</v>
      </c>
      <c r="X260" t="s">
        <v>4196</v>
      </c>
      <c r="Y260" t="s">
        <v>4205</v>
      </c>
      <c r="Z260" t="s">
        <v>4447</v>
      </c>
      <c r="AA260" t="s">
        <v>5536</v>
      </c>
      <c r="AB260" t="s">
        <v>5840</v>
      </c>
      <c r="AC260">
        <v>108</v>
      </c>
      <c r="AD260" t="s">
        <v>6772</v>
      </c>
      <c r="AE260" t="s">
        <v>3526</v>
      </c>
      <c r="AF260">
        <v>1</v>
      </c>
      <c r="AG260">
        <v>1</v>
      </c>
      <c r="AH260">
        <v>0</v>
      </c>
      <c r="AI260">
        <v>39.97</v>
      </c>
      <c r="AL260" t="s">
        <v>6801</v>
      </c>
      <c r="AM260">
        <v>4992</v>
      </c>
    </row>
    <row r="261" spans="1:44">
      <c r="A261" s="1">
        <f>HYPERLINK("https://lsnyc.legalserver.org/matter/dynamic-profile/view/1905350","19-1905350")</f>
        <v>0</v>
      </c>
      <c r="B261" t="s">
        <v>122</v>
      </c>
      <c r="C261" t="s">
        <v>264</v>
      </c>
      <c r="D261" t="s">
        <v>381</v>
      </c>
      <c r="E261" t="s">
        <v>594</v>
      </c>
      <c r="F261" t="s">
        <v>1465</v>
      </c>
      <c r="G261" t="s">
        <v>2382</v>
      </c>
      <c r="H261" t="s">
        <v>3159</v>
      </c>
      <c r="I261" t="s">
        <v>3506</v>
      </c>
      <c r="J261">
        <v>11422</v>
      </c>
      <c r="K261" t="s">
        <v>3522</v>
      </c>
      <c r="L261" t="s">
        <v>3525</v>
      </c>
      <c r="M261" t="s">
        <v>3659</v>
      </c>
      <c r="N261" t="s">
        <v>4107</v>
      </c>
      <c r="O261" t="s">
        <v>4132</v>
      </c>
      <c r="P261" t="s">
        <v>4139</v>
      </c>
      <c r="Q261" t="s">
        <v>4147</v>
      </c>
      <c r="R261" t="s">
        <v>3523</v>
      </c>
      <c r="T261" t="s">
        <v>4156</v>
      </c>
      <c r="U261" t="s">
        <v>4168</v>
      </c>
      <c r="V261" t="s">
        <v>381</v>
      </c>
      <c r="W261">
        <v>1300</v>
      </c>
      <c r="X261" t="s">
        <v>4192</v>
      </c>
      <c r="Y261" t="s">
        <v>4197</v>
      </c>
      <c r="Z261" t="s">
        <v>4448</v>
      </c>
      <c r="AA261" t="s">
        <v>5482</v>
      </c>
      <c r="AB261" t="s">
        <v>5841</v>
      </c>
      <c r="AC261">
        <v>2</v>
      </c>
      <c r="AD261" t="s">
        <v>6771</v>
      </c>
      <c r="AE261" t="s">
        <v>3526</v>
      </c>
      <c r="AF261">
        <v>10</v>
      </c>
      <c r="AG261">
        <v>1</v>
      </c>
      <c r="AH261">
        <v>0</v>
      </c>
      <c r="AI261">
        <v>40.03</v>
      </c>
      <c r="AL261" t="s">
        <v>6801</v>
      </c>
      <c r="AM261">
        <v>5000</v>
      </c>
    </row>
    <row r="262" spans="1:44">
      <c r="A262" s="1">
        <f>HYPERLINK("https://lsnyc.legalserver.org/matter/dynamic-profile/view/1906263","19-1906263")</f>
        <v>0</v>
      </c>
      <c r="B262" t="s">
        <v>120</v>
      </c>
      <c r="C262" t="s">
        <v>276</v>
      </c>
      <c r="D262" t="s">
        <v>210</v>
      </c>
      <c r="E262" t="s">
        <v>595</v>
      </c>
      <c r="F262" t="s">
        <v>1466</v>
      </c>
      <c r="G262" t="s">
        <v>2383</v>
      </c>
      <c r="H262" t="s">
        <v>3229</v>
      </c>
      <c r="I262" t="s">
        <v>3494</v>
      </c>
      <c r="J262">
        <v>10301</v>
      </c>
      <c r="K262" t="s">
        <v>3522</v>
      </c>
      <c r="L262" t="s">
        <v>3525</v>
      </c>
      <c r="M262" t="s">
        <v>3529</v>
      </c>
      <c r="N262" t="s">
        <v>4111</v>
      </c>
      <c r="O262" t="s">
        <v>4135</v>
      </c>
      <c r="P262" t="s">
        <v>4142</v>
      </c>
      <c r="Q262" t="s">
        <v>4148</v>
      </c>
      <c r="R262" t="s">
        <v>3523</v>
      </c>
      <c r="T262" t="s">
        <v>4161</v>
      </c>
      <c r="U262" t="s">
        <v>4168</v>
      </c>
      <c r="V262" t="s">
        <v>276</v>
      </c>
      <c r="W262">
        <v>98</v>
      </c>
      <c r="X262" t="s">
        <v>4195</v>
      </c>
      <c r="Y262" t="s">
        <v>4199</v>
      </c>
      <c r="Z262" t="s">
        <v>4449</v>
      </c>
      <c r="AB262" t="s">
        <v>5842</v>
      </c>
      <c r="AC262">
        <v>2</v>
      </c>
      <c r="AD262" t="s">
        <v>6771</v>
      </c>
      <c r="AE262" t="s">
        <v>6786</v>
      </c>
      <c r="AF262">
        <v>3</v>
      </c>
      <c r="AG262">
        <v>4</v>
      </c>
      <c r="AH262">
        <v>0</v>
      </c>
      <c r="AI262">
        <v>40.12</v>
      </c>
      <c r="AJ262" t="s">
        <v>6795</v>
      </c>
      <c r="AK262" t="s">
        <v>6798</v>
      </c>
      <c r="AL262" t="s">
        <v>6801</v>
      </c>
      <c r="AM262">
        <v>10332</v>
      </c>
    </row>
    <row r="263" spans="1:44">
      <c r="A263" s="1">
        <f>HYPERLINK("https://lsnyc.legalserver.org/matter/dynamic-profile/view/1911976","19-1911976")</f>
        <v>0</v>
      </c>
      <c r="B263" t="s">
        <v>124</v>
      </c>
      <c r="C263" t="s">
        <v>251</v>
      </c>
      <c r="E263" t="s">
        <v>596</v>
      </c>
      <c r="F263" t="s">
        <v>1409</v>
      </c>
      <c r="G263" t="s">
        <v>2384</v>
      </c>
      <c r="H263" t="s">
        <v>3230</v>
      </c>
      <c r="I263" t="s">
        <v>3493</v>
      </c>
      <c r="J263">
        <v>10453</v>
      </c>
      <c r="K263" t="s">
        <v>3522</v>
      </c>
      <c r="L263" t="s">
        <v>3525</v>
      </c>
      <c r="O263" t="s">
        <v>4132</v>
      </c>
      <c r="Q263" t="s">
        <v>4147</v>
      </c>
      <c r="T263" t="s">
        <v>4156</v>
      </c>
      <c r="V263" t="s">
        <v>251</v>
      </c>
      <c r="W263">
        <v>0</v>
      </c>
      <c r="X263" t="s">
        <v>4194</v>
      </c>
      <c r="Z263" t="s">
        <v>4450</v>
      </c>
      <c r="AB263" t="s">
        <v>5843</v>
      </c>
      <c r="AC263">
        <v>80</v>
      </c>
      <c r="AF263">
        <v>0</v>
      </c>
      <c r="AG263">
        <v>1</v>
      </c>
      <c r="AH263">
        <v>0</v>
      </c>
      <c r="AI263">
        <v>40.3</v>
      </c>
      <c r="AL263" t="s">
        <v>6801</v>
      </c>
      <c r="AM263">
        <v>5033</v>
      </c>
    </row>
    <row r="264" spans="1:44">
      <c r="A264" s="1">
        <f>HYPERLINK("https://lsnyc.legalserver.org/matter/dynamic-profile/view/1917348","19-1917348")</f>
        <v>0</v>
      </c>
      <c r="B264" t="s">
        <v>54</v>
      </c>
      <c r="C264" t="s">
        <v>283</v>
      </c>
      <c r="E264" t="s">
        <v>489</v>
      </c>
      <c r="F264" t="s">
        <v>1467</v>
      </c>
      <c r="G264" t="s">
        <v>2385</v>
      </c>
      <c r="H264" t="s">
        <v>3136</v>
      </c>
      <c r="I264" t="s">
        <v>3490</v>
      </c>
      <c r="J264">
        <v>11207</v>
      </c>
      <c r="K264" t="s">
        <v>3523</v>
      </c>
      <c r="L264" t="s">
        <v>3526</v>
      </c>
      <c r="M264" t="s">
        <v>3526</v>
      </c>
      <c r="N264" t="s">
        <v>3554</v>
      </c>
      <c r="O264" t="s">
        <v>4135</v>
      </c>
      <c r="Q264" t="s">
        <v>4147</v>
      </c>
      <c r="R264" t="s">
        <v>3522</v>
      </c>
      <c r="T264" t="s">
        <v>4156</v>
      </c>
      <c r="U264" t="s">
        <v>4168</v>
      </c>
      <c r="V264" t="s">
        <v>195</v>
      </c>
      <c r="W264">
        <v>1200</v>
      </c>
      <c r="X264" t="s">
        <v>4193</v>
      </c>
      <c r="Y264" t="s">
        <v>4201</v>
      </c>
      <c r="Z264" t="s">
        <v>4451</v>
      </c>
      <c r="AA264" t="s">
        <v>5505</v>
      </c>
      <c r="AC264">
        <v>6</v>
      </c>
      <c r="AD264" t="s">
        <v>6772</v>
      </c>
      <c r="AE264" t="s">
        <v>3526</v>
      </c>
      <c r="AF264">
        <v>7</v>
      </c>
      <c r="AG264">
        <v>1</v>
      </c>
      <c r="AH264">
        <v>3</v>
      </c>
      <c r="AI264">
        <v>40.39</v>
      </c>
      <c r="AL264" t="s">
        <v>6801</v>
      </c>
      <c r="AM264">
        <v>10400</v>
      </c>
    </row>
    <row r="265" spans="1:44">
      <c r="A265" s="1">
        <f>HYPERLINK("https://lsnyc.legalserver.org/matter/dynamic-profile/view/1910511","19-1910511")</f>
        <v>0</v>
      </c>
      <c r="B265" t="s">
        <v>44</v>
      </c>
      <c r="C265" t="s">
        <v>214</v>
      </c>
      <c r="D265" t="s">
        <v>256</v>
      </c>
      <c r="E265" t="s">
        <v>597</v>
      </c>
      <c r="F265" t="s">
        <v>1468</v>
      </c>
      <c r="G265" t="s">
        <v>2386</v>
      </c>
      <c r="H265" t="s">
        <v>3161</v>
      </c>
      <c r="I265" t="s">
        <v>3491</v>
      </c>
      <c r="J265">
        <v>11102</v>
      </c>
      <c r="K265" t="s">
        <v>3522</v>
      </c>
      <c r="L265" t="s">
        <v>3525</v>
      </c>
      <c r="M265" t="s">
        <v>3660</v>
      </c>
      <c r="N265" t="s">
        <v>4107</v>
      </c>
      <c r="O265" t="s">
        <v>4135</v>
      </c>
      <c r="P265" t="s">
        <v>4139</v>
      </c>
      <c r="Q265" t="s">
        <v>4147</v>
      </c>
      <c r="R265" t="s">
        <v>3523</v>
      </c>
      <c r="T265" t="s">
        <v>4156</v>
      </c>
      <c r="U265" t="s">
        <v>4168</v>
      </c>
      <c r="V265" t="s">
        <v>201</v>
      </c>
      <c r="W265">
        <v>1560</v>
      </c>
      <c r="X265" t="s">
        <v>4192</v>
      </c>
      <c r="Y265" t="s">
        <v>4197</v>
      </c>
      <c r="Z265" t="s">
        <v>4452</v>
      </c>
      <c r="AA265" t="s">
        <v>5537</v>
      </c>
      <c r="AB265" t="s">
        <v>5482</v>
      </c>
      <c r="AC265">
        <v>6</v>
      </c>
      <c r="AD265" t="s">
        <v>6771</v>
      </c>
      <c r="AE265" t="s">
        <v>3526</v>
      </c>
      <c r="AF265">
        <v>9</v>
      </c>
      <c r="AG265">
        <v>2</v>
      </c>
      <c r="AH265">
        <v>2</v>
      </c>
      <c r="AI265">
        <v>40.39</v>
      </c>
      <c r="AL265" t="s">
        <v>6802</v>
      </c>
      <c r="AM265">
        <v>10400</v>
      </c>
      <c r="AP265" t="s">
        <v>4200</v>
      </c>
      <c r="AR265" t="s">
        <v>6966</v>
      </c>
    </row>
    <row r="266" spans="1:44">
      <c r="A266" s="1">
        <f>HYPERLINK("https://lsnyc.legalserver.org/matter/dynamic-profile/view/1913589","19-1913589")</f>
        <v>0</v>
      </c>
      <c r="B266" t="s">
        <v>72</v>
      </c>
      <c r="C266" t="s">
        <v>265</v>
      </c>
      <c r="E266" t="s">
        <v>598</v>
      </c>
      <c r="F266" t="s">
        <v>1469</v>
      </c>
      <c r="G266" t="s">
        <v>2304</v>
      </c>
      <c r="H266" t="s">
        <v>3220</v>
      </c>
      <c r="I266" t="s">
        <v>3490</v>
      </c>
      <c r="J266">
        <v>11238</v>
      </c>
      <c r="K266" t="s">
        <v>3522</v>
      </c>
      <c r="L266" t="s">
        <v>3525</v>
      </c>
      <c r="M266" t="s">
        <v>3562</v>
      </c>
      <c r="N266" t="s">
        <v>4110</v>
      </c>
      <c r="O266" t="s">
        <v>4137</v>
      </c>
      <c r="Q266" t="s">
        <v>4147</v>
      </c>
      <c r="R266" t="s">
        <v>3522</v>
      </c>
      <c r="T266" t="s">
        <v>4156</v>
      </c>
      <c r="U266" t="s">
        <v>4168</v>
      </c>
      <c r="V266" t="s">
        <v>4178</v>
      </c>
      <c r="W266">
        <v>0</v>
      </c>
      <c r="X266" t="s">
        <v>4193</v>
      </c>
      <c r="Y266" t="s">
        <v>4201</v>
      </c>
      <c r="Z266" t="s">
        <v>4453</v>
      </c>
      <c r="AA266" t="s">
        <v>5538</v>
      </c>
      <c r="AB266" t="s">
        <v>5844</v>
      </c>
      <c r="AC266">
        <v>16</v>
      </c>
      <c r="AD266" t="s">
        <v>6772</v>
      </c>
      <c r="AE266" t="s">
        <v>6787</v>
      </c>
      <c r="AF266">
        <v>0</v>
      </c>
      <c r="AG266">
        <v>1</v>
      </c>
      <c r="AH266">
        <v>1</v>
      </c>
      <c r="AI266">
        <v>40.73</v>
      </c>
      <c r="AL266" t="s">
        <v>6801</v>
      </c>
      <c r="AM266">
        <v>6888</v>
      </c>
      <c r="AN266" t="s">
        <v>6835</v>
      </c>
    </row>
    <row r="267" spans="1:44">
      <c r="A267" s="1">
        <f>HYPERLINK("https://lsnyc.legalserver.org/matter/dynamic-profile/view/1913594","19-1913594")</f>
        <v>0</v>
      </c>
      <c r="B267" t="s">
        <v>72</v>
      </c>
      <c r="C267" t="s">
        <v>265</v>
      </c>
      <c r="E267" t="s">
        <v>598</v>
      </c>
      <c r="F267" t="s">
        <v>1469</v>
      </c>
      <c r="G267" t="s">
        <v>2304</v>
      </c>
      <c r="H267" t="s">
        <v>3220</v>
      </c>
      <c r="I267" t="s">
        <v>3490</v>
      </c>
      <c r="J267">
        <v>11238</v>
      </c>
      <c r="K267" t="s">
        <v>3522</v>
      </c>
      <c r="L267" t="s">
        <v>3525</v>
      </c>
      <c r="N267" t="s">
        <v>4108</v>
      </c>
      <c r="O267" t="s">
        <v>4134</v>
      </c>
      <c r="Q267" t="s">
        <v>4147</v>
      </c>
      <c r="R267" t="s">
        <v>3522</v>
      </c>
      <c r="T267" t="s">
        <v>4156</v>
      </c>
      <c r="U267" t="s">
        <v>4168</v>
      </c>
      <c r="V267" t="s">
        <v>4178</v>
      </c>
      <c r="W267">
        <v>0</v>
      </c>
      <c r="X267" t="s">
        <v>4193</v>
      </c>
      <c r="Y267" t="s">
        <v>4201</v>
      </c>
      <c r="Z267" t="s">
        <v>4453</v>
      </c>
      <c r="AA267" t="s">
        <v>5538</v>
      </c>
      <c r="AB267" t="s">
        <v>5844</v>
      </c>
      <c r="AC267">
        <v>16</v>
      </c>
      <c r="AD267" t="s">
        <v>6772</v>
      </c>
      <c r="AE267" t="s">
        <v>6787</v>
      </c>
      <c r="AF267">
        <v>0</v>
      </c>
      <c r="AG267">
        <v>1</v>
      </c>
      <c r="AH267">
        <v>1</v>
      </c>
      <c r="AI267">
        <v>40.73</v>
      </c>
      <c r="AL267" t="s">
        <v>6801</v>
      </c>
      <c r="AM267">
        <v>6888</v>
      </c>
      <c r="AN267" t="s">
        <v>6836</v>
      </c>
    </row>
    <row r="268" spans="1:44">
      <c r="A268" s="1">
        <f>HYPERLINK("https://lsnyc.legalserver.org/matter/dynamic-profile/view/1907709","19-1907709")</f>
        <v>0</v>
      </c>
      <c r="B268" t="s">
        <v>72</v>
      </c>
      <c r="C268" t="s">
        <v>284</v>
      </c>
      <c r="E268" t="s">
        <v>598</v>
      </c>
      <c r="F268" t="s">
        <v>1469</v>
      </c>
      <c r="G268" t="s">
        <v>2304</v>
      </c>
      <c r="H268" t="s">
        <v>3220</v>
      </c>
      <c r="I268" t="s">
        <v>3490</v>
      </c>
      <c r="J268">
        <v>11238</v>
      </c>
      <c r="K268" t="s">
        <v>3522</v>
      </c>
      <c r="L268" t="s">
        <v>3527</v>
      </c>
      <c r="M268" t="s">
        <v>3526</v>
      </c>
      <c r="N268" t="s">
        <v>4112</v>
      </c>
      <c r="O268" t="s">
        <v>4135</v>
      </c>
      <c r="Q268" t="s">
        <v>4147</v>
      </c>
      <c r="R268" t="s">
        <v>3523</v>
      </c>
      <c r="T268" t="s">
        <v>4156</v>
      </c>
      <c r="U268" t="s">
        <v>4168</v>
      </c>
      <c r="V268" t="s">
        <v>284</v>
      </c>
      <c r="W268">
        <v>1266.98</v>
      </c>
      <c r="X268" t="s">
        <v>4193</v>
      </c>
      <c r="Y268" t="s">
        <v>4201</v>
      </c>
      <c r="Z268" t="s">
        <v>4453</v>
      </c>
      <c r="AA268" t="s">
        <v>5538</v>
      </c>
      <c r="AB268" t="s">
        <v>5844</v>
      </c>
      <c r="AC268">
        <v>16</v>
      </c>
      <c r="AD268" t="s">
        <v>6772</v>
      </c>
      <c r="AE268" t="s">
        <v>6787</v>
      </c>
      <c r="AF268">
        <v>0</v>
      </c>
      <c r="AG268">
        <v>1</v>
      </c>
      <c r="AH268">
        <v>1</v>
      </c>
      <c r="AI268">
        <v>40.73</v>
      </c>
      <c r="AL268" t="s">
        <v>6801</v>
      </c>
      <c r="AM268">
        <v>6888</v>
      </c>
    </row>
    <row r="269" spans="1:44">
      <c r="A269" s="1">
        <f>HYPERLINK("https://lsnyc.legalserver.org/matter/dynamic-profile/view/1911193","19-1911193")</f>
        <v>0</v>
      </c>
      <c r="B269" t="s">
        <v>72</v>
      </c>
      <c r="C269" t="s">
        <v>212</v>
      </c>
      <c r="E269" t="s">
        <v>598</v>
      </c>
      <c r="F269" t="s">
        <v>1469</v>
      </c>
      <c r="G269" t="s">
        <v>2304</v>
      </c>
      <c r="H269" t="s">
        <v>3220</v>
      </c>
      <c r="I269" t="s">
        <v>3490</v>
      </c>
      <c r="J269">
        <v>11238</v>
      </c>
      <c r="K269" t="s">
        <v>3522</v>
      </c>
      <c r="L269" t="s">
        <v>3525</v>
      </c>
      <c r="M269" t="s">
        <v>3554</v>
      </c>
      <c r="N269" t="s">
        <v>4112</v>
      </c>
      <c r="O269" t="s">
        <v>4135</v>
      </c>
      <c r="Q269" t="s">
        <v>4147</v>
      </c>
      <c r="R269" t="s">
        <v>3522</v>
      </c>
      <c r="T269" t="s">
        <v>4156</v>
      </c>
      <c r="U269" t="s">
        <v>4168</v>
      </c>
      <c r="V269" t="s">
        <v>270</v>
      </c>
      <c r="W269">
        <v>0</v>
      </c>
      <c r="X269" t="s">
        <v>4193</v>
      </c>
      <c r="Y269" t="s">
        <v>4201</v>
      </c>
      <c r="Z269" t="s">
        <v>4453</v>
      </c>
      <c r="AA269" t="s">
        <v>5538</v>
      </c>
      <c r="AB269" t="s">
        <v>5844</v>
      </c>
      <c r="AC269">
        <v>16</v>
      </c>
      <c r="AD269" t="s">
        <v>6772</v>
      </c>
      <c r="AE269" t="s">
        <v>6787</v>
      </c>
      <c r="AF269">
        <v>0</v>
      </c>
      <c r="AG269">
        <v>1</v>
      </c>
      <c r="AH269">
        <v>1</v>
      </c>
      <c r="AI269">
        <v>40.73</v>
      </c>
      <c r="AL269" t="s">
        <v>6801</v>
      </c>
      <c r="AM269">
        <v>6888</v>
      </c>
    </row>
    <row r="270" spans="1:44">
      <c r="A270" s="1">
        <f>HYPERLINK("https://lsnyc.legalserver.org/matter/dynamic-profile/view/1907085","19-1907085")</f>
        <v>0</v>
      </c>
      <c r="B270" t="s">
        <v>83</v>
      </c>
      <c r="C270" t="s">
        <v>244</v>
      </c>
      <c r="D270" t="s">
        <v>279</v>
      </c>
      <c r="E270" t="s">
        <v>599</v>
      </c>
      <c r="F270" t="s">
        <v>1470</v>
      </c>
      <c r="G270" t="s">
        <v>2387</v>
      </c>
      <c r="I270" t="s">
        <v>3493</v>
      </c>
      <c r="J270">
        <v>10453</v>
      </c>
      <c r="K270" t="s">
        <v>3522</v>
      </c>
      <c r="L270" t="s">
        <v>3525</v>
      </c>
      <c r="M270" t="s">
        <v>3562</v>
      </c>
      <c r="N270" t="s">
        <v>3554</v>
      </c>
      <c r="O270" t="s">
        <v>4132</v>
      </c>
      <c r="P270" t="s">
        <v>4139</v>
      </c>
      <c r="Q270" t="s">
        <v>4147</v>
      </c>
      <c r="R270" t="s">
        <v>3523</v>
      </c>
      <c r="T270" t="s">
        <v>4156</v>
      </c>
      <c r="V270" t="s">
        <v>4175</v>
      </c>
      <c r="W270">
        <v>1129</v>
      </c>
      <c r="X270" t="s">
        <v>4194</v>
      </c>
      <c r="Y270" t="s">
        <v>4206</v>
      </c>
      <c r="Z270" t="s">
        <v>4454</v>
      </c>
      <c r="AC270">
        <v>69</v>
      </c>
      <c r="AD270" t="s">
        <v>5524</v>
      </c>
      <c r="AE270" t="s">
        <v>3526</v>
      </c>
      <c r="AF270">
        <v>37</v>
      </c>
      <c r="AG270">
        <v>2</v>
      </c>
      <c r="AH270">
        <v>2</v>
      </c>
      <c r="AI270">
        <v>40.92</v>
      </c>
      <c r="AL270" t="s">
        <v>6801</v>
      </c>
      <c r="AM270">
        <v>10536</v>
      </c>
    </row>
    <row r="271" spans="1:44">
      <c r="A271" s="1">
        <f>HYPERLINK("https://lsnyc.legalserver.org/matter/dynamic-profile/view/1906018","19-1906018")</f>
        <v>0</v>
      </c>
      <c r="B271" t="s">
        <v>61</v>
      </c>
      <c r="C271" t="s">
        <v>285</v>
      </c>
      <c r="D271" t="s">
        <v>231</v>
      </c>
      <c r="E271" t="s">
        <v>600</v>
      </c>
      <c r="F271" t="s">
        <v>1471</v>
      </c>
      <c r="G271" t="s">
        <v>2388</v>
      </c>
      <c r="H271" t="s">
        <v>3231</v>
      </c>
      <c r="I271" t="s">
        <v>3490</v>
      </c>
      <c r="J271">
        <v>11233</v>
      </c>
      <c r="K271" t="s">
        <v>3522</v>
      </c>
      <c r="L271" t="s">
        <v>3525</v>
      </c>
      <c r="M271" t="s">
        <v>3554</v>
      </c>
      <c r="N271" t="s">
        <v>3554</v>
      </c>
      <c r="O271" t="s">
        <v>4135</v>
      </c>
      <c r="P271" t="s">
        <v>4142</v>
      </c>
      <c r="Q271" t="s">
        <v>4147</v>
      </c>
      <c r="R271" t="s">
        <v>3523</v>
      </c>
      <c r="T271" t="s">
        <v>4156</v>
      </c>
      <c r="V271" t="s">
        <v>250</v>
      </c>
      <c r="W271">
        <v>1781</v>
      </c>
      <c r="X271" t="s">
        <v>4193</v>
      </c>
      <c r="Y271" t="s">
        <v>4206</v>
      </c>
      <c r="Z271" t="s">
        <v>4455</v>
      </c>
      <c r="AB271" t="s">
        <v>5845</v>
      </c>
      <c r="AC271">
        <v>8</v>
      </c>
      <c r="AD271" t="s">
        <v>6772</v>
      </c>
      <c r="AE271" t="s">
        <v>6790</v>
      </c>
      <c r="AF271">
        <v>14</v>
      </c>
      <c r="AG271">
        <v>3</v>
      </c>
      <c r="AH271">
        <v>1</v>
      </c>
      <c r="AI271">
        <v>41.15</v>
      </c>
      <c r="AL271" t="s">
        <v>6801</v>
      </c>
      <c r="AM271">
        <v>10596</v>
      </c>
    </row>
    <row r="272" spans="1:44">
      <c r="A272" s="1">
        <f>HYPERLINK("https://lsnyc.legalserver.org/matter/dynamic-profile/view/1906982","19-1906982")</f>
        <v>0</v>
      </c>
      <c r="B272" t="s">
        <v>73</v>
      </c>
      <c r="C272" t="s">
        <v>217</v>
      </c>
      <c r="D272" t="s">
        <v>298</v>
      </c>
      <c r="E272" t="s">
        <v>520</v>
      </c>
      <c r="F272" t="s">
        <v>1393</v>
      </c>
      <c r="G272" t="s">
        <v>2389</v>
      </c>
      <c r="H272" t="s">
        <v>3140</v>
      </c>
      <c r="I272" t="s">
        <v>3493</v>
      </c>
      <c r="J272">
        <v>10452</v>
      </c>
      <c r="K272" t="s">
        <v>3522</v>
      </c>
      <c r="L272" t="s">
        <v>3525</v>
      </c>
      <c r="N272" t="s">
        <v>3554</v>
      </c>
      <c r="O272" t="s">
        <v>4132</v>
      </c>
      <c r="P272" t="s">
        <v>4139</v>
      </c>
      <c r="Q272" t="s">
        <v>4147</v>
      </c>
      <c r="R272" t="s">
        <v>3523</v>
      </c>
      <c r="T272" t="s">
        <v>4156</v>
      </c>
      <c r="V272" t="s">
        <v>222</v>
      </c>
      <c r="W272">
        <v>811.24</v>
      </c>
      <c r="X272" t="s">
        <v>4194</v>
      </c>
      <c r="Y272" t="s">
        <v>4206</v>
      </c>
      <c r="Z272" t="s">
        <v>4456</v>
      </c>
      <c r="AB272" t="s">
        <v>5846</v>
      </c>
      <c r="AC272">
        <v>53</v>
      </c>
      <c r="AD272" t="s">
        <v>6772</v>
      </c>
      <c r="AE272" t="s">
        <v>6788</v>
      </c>
      <c r="AF272">
        <v>34</v>
      </c>
      <c r="AG272">
        <v>1</v>
      </c>
      <c r="AH272">
        <v>2</v>
      </c>
      <c r="AI272">
        <v>41.24</v>
      </c>
      <c r="AL272" t="s">
        <v>6802</v>
      </c>
      <c r="AM272">
        <v>8796</v>
      </c>
    </row>
    <row r="273" spans="1:44">
      <c r="A273" s="1">
        <f>HYPERLINK("https://lsnyc.legalserver.org/matter/dynamic-profile/view/1903663","19-1903663")</f>
        <v>0</v>
      </c>
      <c r="B273" t="s">
        <v>120</v>
      </c>
      <c r="C273" t="s">
        <v>286</v>
      </c>
      <c r="D273" t="s">
        <v>182</v>
      </c>
      <c r="E273" t="s">
        <v>453</v>
      </c>
      <c r="F273" t="s">
        <v>1472</v>
      </c>
      <c r="G273" t="s">
        <v>2390</v>
      </c>
      <c r="H273" t="s">
        <v>3232</v>
      </c>
      <c r="I273" t="s">
        <v>3494</v>
      </c>
      <c r="J273">
        <v>10314</v>
      </c>
      <c r="K273" t="s">
        <v>3522</v>
      </c>
      <c r="L273" t="s">
        <v>3525</v>
      </c>
      <c r="M273" t="s">
        <v>3661</v>
      </c>
      <c r="N273" t="s">
        <v>4110</v>
      </c>
      <c r="O273" t="s">
        <v>4137</v>
      </c>
      <c r="P273" t="s">
        <v>4145</v>
      </c>
      <c r="Q273" t="s">
        <v>4147</v>
      </c>
      <c r="R273" t="s">
        <v>3522</v>
      </c>
      <c r="T273" t="s">
        <v>4156</v>
      </c>
      <c r="U273" t="s">
        <v>4168</v>
      </c>
      <c r="V273" t="s">
        <v>336</v>
      </c>
      <c r="W273">
        <v>1788</v>
      </c>
      <c r="X273" t="s">
        <v>4195</v>
      </c>
      <c r="Y273" t="s">
        <v>4201</v>
      </c>
      <c r="Z273" t="s">
        <v>4457</v>
      </c>
      <c r="AB273" t="s">
        <v>5847</v>
      </c>
      <c r="AC273">
        <v>96</v>
      </c>
      <c r="AD273" t="s">
        <v>6772</v>
      </c>
      <c r="AE273" t="s">
        <v>6791</v>
      </c>
      <c r="AF273">
        <v>9</v>
      </c>
      <c r="AG273">
        <v>2</v>
      </c>
      <c r="AH273">
        <v>0</v>
      </c>
      <c r="AI273">
        <v>41.58</v>
      </c>
      <c r="AL273" t="s">
        <v>6801</v>
      </c>
      <c r="AM273">
        <v>7032</v>
      </c>
      <c r="AO273" t="s">
        <v>6920</v>
      </c>
      <c r="AP273" t="s">
        <v>6929</v>
      </c>
      <c r="AQ273" t="s">
        <v>6945</v>
      </c>
      <c r="AR273" t="s">
        <v>6967</v>
      </c>
    </row>
    <row r="274" spans="1:44">
      <c r="A274" s="1">
        <f>HYPERLINK("https://lsnyc.legalserver.org/matter/dynamic-profile/view/1905034","19-1905034")</f>
        <v>0</v>
      </c>
      <c r="B274" t="s">
        <v>75</v>
      </c>
      <c r="C274" t="s">
        <v>216</v>
      </c>
      <c r="E274" t="s">
        <v>503</v>
      </c>
      <c r="F274" t="s">
        <v>1473</v>
      </c>
      <c r="G274" t="s">
        <v>2368</v>
      </c>
      <c r="H274" t="s">
        <v>3233</v>
      </c>
      <c r="I274" t="s">
        <v>3493</v>
      </c>
      <c r="J274">
        <v>10453</v>
      </c>
      <c r="K274" t="s">
        <v>3522</v>
      </c>
      <c r="L274" t="s">
        <v>3525</v>
      </c>
      <c r="M274" t="s">
        <v>3662</v>
      </c>
      <c r="N274" t="s">
        <v>4110</v>
      </c>
      <c r="O274" t="s">
        <v>4137</v>
      </c>
      <c r="Q274" t="s">
        <v>4147</v>
      </c>
      <c r="R274" t="s">
        <v>3522</v>
      </c>
      <c r="T274" t="s">
        <v>4156</v>
      </c>
      <c r="V274" t="s">
        <v>4181</v>
      </c>
      <c r="W274">
        <v>1091</v>
      </c>
      <c r="X274" t="s">
        <v>4194</v>
      </c>
      <c r="Y274" t="s">
        <v>4206</v>
      </c>
      <c r="Z274" t="s">
        <v>4458</v>
      </c>
      <c r="AB274" t="s">
        <v>5848</v>
      </c>
      <c r="AC274">
        <v>170</v>
      </c>
      <c r="AD274" t="s">
        <v>6772</v>
      </c>
      <c r="AE274" t="s">
        <v>6788</v>
      </c>
      <c r="AF274">
        <v>12</v>
      </c>
      <c r="AG274">
        <v>1</v>
      </c>
      <c r="AH274">
        <v>2</v>
      </c>
      <c r="AI274">
        <v>41.63</v>
      </c>
      <c r="AL274" t="s">
        <v>6802</v>
      </c>
      <c r="AM274">
        <v>8880</v>
      </c>
    </row>
    <row r="275" spans="1:44">
      <c r="A275" s="1">
        <f>HYPERLINK("https://lsnyc.legalserver.org/matter/dynamic-profile/view/1907283","19-1907283")</f>
        <v>0</v>
      </c>
      <c r="B275" t="s">
        <v>89</v>
      </c>
      <c r="C275" t="s">
        <v>225</v>
      </c>
      <c r="D275" t="s">
        <v>383</v>
      </c>
      <c r="E275" t="s">
        <v>445</v>
      </c>
      <c r="F275" t="s">
        <v>1464</v>
      </c>
      <c r="G275" t="s">
        <v>2391</v>
      </c>
      <c r="H275">
        <v>51</v>
      </c>
      <c r="I275" t="s">
        <v>3495</v>
      </c>
      <c r="J275">
        <v>10034</v>
      </c>
      <c r="K275" t="s">
        <v>3522</v>
      </c>
      <c r="L275" t="s">
        <v>3525</v>
      </c>
      <c r="N275" t="s">
        <v>4113</v>
      </c>
      <c r="O275" t="s">
        <v>4132</v>
      </c>
      <c r="P275" t="s">
        <v>4139</v>
      </c>
      <c r="Q275" t="s">
        <v>4147</v>
      </c>
      <c r="R275" t="s">
        <v>3523</v>
      </c>
      <c r="T275" t="s">
        <v>4156</v>
      </c>
      <c r="V275" t="s">
        <v>225</v>
      </c>
      <c r="W275">
        <v>1664.13</v>
      </c>
      <c r="X275" t="s">
        <v>4196</v>
      </c>
      <c r="Y275" t="s">
        <v>4201</v>
      </c>
      <c r="Z275" t="s">
        <v>4459</v>
      </c>
      <c r="AB275" t="s">
        <v>5849</v>
      </c>
      <c r="AC275">
        <v>26</v>
      </c>
      <c r="AD275" t="s">
        <v>6772</v>
      </c>
      <c r="AE275" t="s">
        <v>6786</v>
      </c>
      <c r="AF275">
        <v>26</v>
      </c>
      <c r="AG275">
        <v>3</v>
      </c>
      <c r="AH275">
        <v>0</v>
      </c>
      <c r="AI275">
        <v>41.69</v>
      </c>
      <c r="AL275" t="s">
        <v>6802</v>
      </c>
      <c r="AM275">
        <v>8892</v>
      </c>
    </row>
    <row r="276" spans="1:44">
      <c r="A276" s="1">
        <f>HYPERLINK("https://lsnyc.legalserver.org/matter/dynamic-profile/view/1916410","19-1916410")</f>
        <v>0</v>
      </c>
      <c r="B276" t="s">
        <v>72</v>
      </c>
      <c r="C276" t="s">
        <v>223</v>
      </c>
      <c r="E276" t="s">
        <v>601</v>
      </c>
      <c r="F276" t="s">
        <v>1474</v>
      </c>
      <c r="G276" t="s">
        <v>2219</v>
      </c>
      <c r="H276">
        <v>4</v>
      </c>
      <c r="I276" t="s">
        <v>3490</v>
      </c>
      <c r="J276">
        <v>11207</v>
      </c>
      <c r="K276" t="s">
        <v>3523</v>
      </c>
      <c r="L276" t="s">
        <v>3526</v>
      </c>
      <c r="M276" t="s">
        <v>3570</v>
      </c>
      <c r="N276" t="s">
        <v>4115</v>
      </c>
      <c r="O276" t="s">
        <v>4134</v>
      </c>
      <c r="Q276" t="s">
        <v>4147</v>
      </c>
      <c r="R276" t="s">
        <v>3522</v>
      </c>
      <c r="T276" t="s">
        <v>4156</v>
      </c>
      <c r="U276" t="s">
        <v>4168</v>
      </c>
      <c r="V276" t="s">
        <v>208</v>
      </c>
      <c r="W276">
        <v>1100</v>
      </c>
      <c r="X276" t="s">
        <v>4193</v>
      </c>
      <c r="Y276" t="s">
        <v>4198</v>
      </c>
      <c r="Z276" t="s">
        <v>4460</v>
      </c>
      <c r="AA276" t="s">
        <v>3562</v>
      </c>
      <c r="AB276" t="s">
        <v>5850</v>
      </c>
      <c r="AC276">
        <v>7</v>
      </c>
      <c r="AD276" t="s">
        <v>6771</v>
      </c>
      <c r="AE276" t="s">
        <v>3526</v>
      </c>
      <c r="AF276">
        <v>4</v>
      </c>
      <c r="AG276">
        <v>3</v>
      </c>
      <c r="AH276">
        <v>1</v>
      </c>
      <c r="AI276">
        <v>41.94</v>
      </c>
      <c r="AL276" t="s">
        <v>6801</v>
      </c>
      <c r="AM276">
        <v>10800</v>
      </c>
    </row>
    <row r="277" spans="1:44">
      <c r="A277" s="1">
        <f>HYPERLINK("https://lsnyc.legalserver.org/matter/dynamic-profile/view/1910745","19-1910745")</f>
        <v>0</v>
      </c>
      <c r="B277" t="s">
        <v>74</v>
      </c>
      <c r="C277" t="s">
        <v>257</v>
      </c>
      <c r="E277" t="s">
        <v>602</v>
      </c>
      <c r="F277" t="s">
        <v>1403</v>
      </c>
      <c r="G277" t="s">
        <v>2392</v>
      </c>
      <c r="I277" t="s">
        <v>3493</v>
      </c>
      <c r="J277">
        <v>10459</v>
      </c>
      <c r="K277" t="s">
        <v>3524</v>
      </c>
      <c r="L277" t="s">
        <v>3527</v>
      </c>
      <c r="M277" t="s">
        <v>3663</v>
      </c>
      <c r="N277" t="s">
        <v>4107</v>
      </c>
      <c r="Q277" t="s">
        <v>4147</v>
      </c>
      <c r="R277" t="s">
        <v>3523</v>
      </c>
      <c r="T277" t="s">
        <v>4156</v>
      </c>
      <c r="V277" t="s">
        <v>333</v>
      </c>
      <c r="W277">
        <v>1650</v>
      </c>
      <c r="X277" t="s">
        <v>4194</v>
      </c>
      <c r="Z277" t="s">
        <v>4461</v>
      </c>
      <c r="AA277" t="s">
        <v>5539</v>
      </c>
      <c r="AB277" t="s">
        <v>5851</v>
      </c>
      <c r="AC277">
        <v>0</v>
      </c>
      <c r="AD277" t="s">
        <v>5524</v>
      </c>
      <c r="AE277" t="s">
        <v>3526</v>
      </c>
      <c r="AF277">
        <v>12</v>
      </c>
      <c r="AG277">
        <v>1</v>
      </c>
      <c r="AH277">
        <v>3</v>
      </c>
      <c r="AI277">
        <v>41.94</v>
      </c>
      <c r="AL277" t="s">
        <v>6801</v>
      </c>
      <c r="AM277">
        <v>10800</v>
      </c>
    </row>
    <row r="278" spans="1:44">
      <c r="A278" s="1">
        <f>HYPERLINK("https://lsnyc.legalserver.org/matter/dynamic-profile/view/1914685","19-1914685")</f>
        <v>0</v>
      </c>
      <c r="B278" t="s">
        <v>96</v>
      </c>
      <c r="C278" t="s">
        <v>199</v>
      </c>
      <c r="E278" t="s">
        <v>552</v>
      </c>
      <c r="F278" t="s">
        <v>1379</v>
      </c>
      <c r="G278" t="s">
        <v>2393</v>
      </c>
      <c r="H278" t="s">
        <v>3154</v>
      </c>
      <c r="I278" t="s">
        <v>3493</v>
      </c>
      <c r="J278">
        <v>10471</v>
      </c>
      <c r="K278" t="s">
        <v>3522</v>
      </c>
      <c r="L278" t="s">
        <v>3525</v>
      </c>
      <c r="O278" t="s">
        <v>4132</v>
      </c>
      <c r="Q278" t="s">
        <v>4147</v>
      </c>
      <c r="R278" t="s">
        <v>3523</v>
      </c>
      <c r="T278" t="s">
        <v>4156</v>
      </c>
      <c r="V278" t="s">
        <v>269</v>
      </c>
      <c r="W278">
        <v>987</v>
      </c>
      <c r="X278" t="s">
        <v>4194</v>
      </c>
      <c r="Y278" t="s">
        <v>4206</v>
      </c>
      <c r="Z278" t="s">
        <v>4395</v>
      </c>
      <c r="AA278" t="s">
        <v>5540</v>
      </c>
      <c r="AB278" t="s">
        <v>5794</v>
      </c>
      <c r="AC278">
        <v>0</v>
      </c>
      <c r="AE278" t="s">
        <v>6786</v>
      </c>
      <c r="AF278">
        <v>4</v>
      </c>
      <c r="AG278">
        <v>1</v>
      </c>
      <c r="AH278">
        <v>1</v>
      </c>
      <c r="AI278">
        <v>42.58</v>
      </c>
      <c r="AL278" t="s">
        <v>6801</v>
      </c>
      <c r="AM278">
        <v>7200</v>
      </c>
    </row>
    <row r="279" spans="1:44">
      <c r="A279" s="1">
        <f>HYPERLINK("https://lsnyc.legalserver.org/matter/dynamic-profile/view/1908250","19-1908250")</f>
        <v>0</v>
      </c>
      <c r="B279" t="s">
        <v>44</v>
      </c>
      <c r="C279" t="s">
        <v>211</v>
      </c>
      <c r="E279" t="s">
        <v>603</v>
      </c>
      <c r="F279" t="s">
        <v>1475</v>
      </c>
      <c r="G279" t="s">
        <v>2394</v>
      </c>
      <c r="H279" t="s">
        <v>3179</v>
      </c>
      <c r="I279" t="s">
        <v>3486</v>
      </c>
      <c r="J279">
        <v>11377</v>
      </c>
      <c r="K279" t="s">
        <v>3522</v>
      </c>
      <c r="L279" t="s">
        <v>3525</v>
      </c>
      <c r="M279" t="s">
        <v>3664</v>
      </c>
      <c r="N279" t="s">
        <v>4107</v>
      </c>
      <c r="O279" t="s">
        <v>4134</v>
      </c>
      <c r="Q279" t="s">
        <v>4147</v>
      </c>
      <c r="R279" t="s">
        <v>3523</v>
      </c>
      <c r="T279" t="s">
        <v>4156</v>
      </c>
      <c r="U279" t="s">
        <v>4168</v>
      </c>
      <c r="V279" t="s">
        <v>211</v>
      </c>
      <c r="W279">
        <v>1850</v>
      </c>
      <c r="X279" t="s">
        <v>4192</v>
      </c>
      <c r="Y279" t="s">
        <v>4197</v>
      </c>
      <c r="Z279" t="s">
        <v>4462</v>
      </c>
      <c r="AB279" t="s">
        <v>5852</v>
      </c>
      <c r="AC279">
        <v>2</v>
      </c>
      <c r="AD279" t="s">
        <v>6771</v>
      </c>
      <c r="AE279" t="s">
        <v>3526</v>
      </c>
      <c r="AF279">
        <v>-1</v>
      </c>
      <c r="AG279">
        <v>1</v>
      </c>
      <c r="AH279">
        <v>0</v>
      </c>
      <c r="AI279">
        <v>43.23</v>
      </c>
      <c r="AL279" t="s">
        <v>6801</v>
      </c>
      <c r="AM279">
        <v>5400</v>
      </c>
      <c r="AP279" t="s">
        <v>4200</v>
      </c>
    </row>
    <row r="280" spans="1:44">
      <c r="A280" s="1">
        <f>HYPERLINK("https://lsnyc.legalserver.org/matter/dynamic-profile/view/1912722","19-1912722")</f>
        <v>0</v>
      </c>
      <c r="B280" t="s">
        <v>54</v>
      </c>
      <c r="C280" t="s">
        <v>287</v>
      </c>
      <c r="E280" t="s">
        <v>516</v>
      </c>
      <c r="F280" t="s">
        <v>1476</v>
      </c>
      <c r="G280" t="s">
        <v>2385</v>
      </c>
      <c r="H280" t="s">
        <v>3130</v>
      </c>
      <c r="I280" t="s">
        <v>3490</v>
      </c>
      <c r="J280">
        <v>11207</v>
      </c>
      <c r="K280" t="s">
        <v>3522</v>
      </c>
      <c r="L280" t="s">
        <v>3525</v>
      </c>
      <c r="N280" t="s">
        <v>4112</v>
      </c>
      <c r="O280" t="s">
        <v>4135</v>
      </c>
      <c r="Q280" t="s">
        <v>4147</v>
      </c>
      <c r="R280" t="s">
        <v>3522</v>
      </c>
      <c r="T280" t="s">
        <v>4156</v>
      </c>
      <c r="V280" t="s">
        <v>287</v>
      </c>
      <c r="W280">
        <v>640</v>
      </c>
      <c r="X280" t="s">
        <v>4193</v>
      </c>
      <c r="Y280" t="s">
        <v>4201</v>
      </c>
      <c r="Z280" t="s">
        <v>4463</v>
      </c>
      <c r="AB280" t="s">
        <v>5853</v>
      </c>
      <c r="AC280">
        <v>6</v>
      </c>
      <c r="AD280" t="s">
        <v>6772</v>
      </c>
      <c r="AF280">
        <v>5</v>
      </c>
      <c r="AG280">
        <v>1</v>
      </c>
      <c r="AH280">
        <v>0</v>
      </c>
      <c r="AI280">
        <v>43.3</v>
      </c>
      <c r="AL280" t="s">
        <v>6801</v>
      </c>
      <c r="AM280">
        <v>5408</v>
      </c>
    </row>
    <row r="281" spans="1:44">
      <c r="A281" s="1">
        <f>HYPERLINK("https://lsnyc.legalserver.org/matter/dynamic-profile/view/1904898","19-1904898")</f>
        <v>0</v>
      </c>
      <c r="B281" t="s">
        <v>46</v>
      </c>
      <c r="C281" t="s">
        <v>272</v>
      </c>
      <c r="E281" t="s">
        <v>465</v>
      </c>
      <c r="F281" t="s">
        <v>1137</v>
      </c>
      <c r="G281" t="s">
        <v>2395</v>
      </c>
      <c r="H281" t="s">
        <v>3208</v>
      </c>
      <c r="I281" t="s">
        <v>3484</v>
      </c>
      <c r="J281">
        <v>11412</v>
      </c>
      <c r="K281" t="s">
        <v>3522</v>
      </c>
      <c r="L281" t="s">
        <v>3525</v>
      </c>
      <c r="M281" t="s">
        <v>3665</v>
      </c>
      <c r="N281" t="s">
        <v>4107</v>
      </c>
      <c r="O281" t="s">
        <v>4134</v>
      </c>
      <c r="Q281" t="s">
        <v>4148</v>
      </c>
      <c r="R281" t="s">
        <v>3523</v>
      </c>
      <c r="T281" t="s">
        <v>4156</v>
      </c>
      <c r="U281" t="s">
        <v>4169</v>
      </c>
      <c r="V281" t="s">
        <v>272</v>
      </c>
      <c r="W281">
        <v>1488.5</v>
      </c>
      <c r="X281" t="s">
        <v>4192</v>
      </c>
      <c r="Y281" t="s">
        <v>4199</v>
      </c>
      <c r="Z281" t="s">
        <v>4464</v>
      </c>
      <c r="AA281" t="s">
        <v>5541</v>
      </c>
      <c r="AC281">
        <v>3</v>
      </c>
      <c r="AD281" t="s">
        <v>6782</v>
      </c>
      <c r="AE281" t="s">
        <v>6788</v>
      </c>
      <c r="AF281">
        <v>2</v>
      </c>
      <c r="AG281">
        <v>1</v>
      </c>
      <c r="AH281">
        <v>2</v>
      </c>
      <c r="AI281">
        <v>43.38</v>
      </c>
      <c r="AJ281" t="s">
        <v>6795</v>
      </c>
      <c r="AK281" t="s">
        <v>6798</v>
      </c>
      <c r="AL281" t="s">
        <v>6801</v>
      </c>
      <c r="AM281">
        <v>9252</v>
      </c>
      <c r="AP281" t="s">
        <v>4200</v>
      </c>
    </row>
    <row r="282" spans="1:44">
      <c r="A282" s="1">
        <f>HYPERLINK("https://lsnyc.legalserver.org/matter/dynamic-profile/view/1916920","19-1916920")</f>
        <v>0</v>
      </c>
      <c r="B282" t="s">
        <v>72</v>
      </c>
      <c r="C282" t="s">
        <v>189</v>
      </c>
      <c r="E282" t="s">
        <v>604</v>
      </c>
      <c r="F282" t="s">
        <v>1477</v>
      </c>
      <c r="G282" t="s">
        <v>2356</v>
      </c>
      <c r="H282" t="s">
        <v>3151</v>
      </c>
      <c r="I282" t="s">
        <v>3490</v>
      </c>
      <c r="J282">
        <v>11231</v>
      </c>
      <c r="K282" t="s">
        <v>3522</v>
      </c>
      <c r="L282" t="s">
        <v>3525</v>
      </c>
      <c r="M282" t="s">
        <v>3526</v>
      </c>
      <c r="N282" t="s">
        <v>3554</v>
      </c>
      <c r="O282" t="s">
        <v>4132</v>
      </c>
      <c r="Q282" t="s">
        <v>4147</v>
      </c>
      <c r="R282" t="s">
        <v>3522</v>
      </c>
      <c r="T282" t="s">
        <v>4156</v>
      </c>
      <c r="V282" t="s">
        <v>4180</v>
      </c>
      <c r="W282">
        <v>239</v>
      </c>
      <c r="X282" t="s">
        <v>4193</v>
      </c>
      <c r="Y282" t="s">
        <v>4204</v>
      </c>
      <c r="Z282" t="s">
        <v>4465</v>
      </c>
      <c r="AB282" t="s">
        <v>5854</v>
      </c>
      <c r="AC282">
        <v>36</v>
      </c>
      <c r="AD282" t="s">
        <v>6772</v>
      </c>
      <c r="AE282" t="s">
        <v>6790</v>
      </c>
      <c r="AF282">
        <v>2</v>
      </c>
      <c r="AG282">
        <v>2</v>
      </c>
      <c r="AH282">
        <v>1</v>
      </c>
      <c r="AI282">
        <v>43.38</v>
      </c>
      <c r="AL282" t="s">
        <v>6801</v>
      </c>
      <c r="AM282">
        <v>9252</v>
      </c>
    </row>
    <row r="283" spans="1:44">
      <c r="A283" s="1">
        <f>HYPERLINK("https://lsnyc.legalserver.org/matter/dynamic-profile/view/1912717","19-1912717")</f>
        <v>0</v>
      </c>
      <c r="B283" t="s">
        <v>94</v>
      </c>
      <c r="C283" t="s">
        <v>287</v>
      </c>
      <c r="E283" t="s">
        <v>605</v>
      </c>
      <c r="F283" t="s">
        <v>1295</v>
      </c>
      <c r="G283" t="s">
        <v>2396</v>
      </c>
      <c r="H283" t="s">
        <v>3207</v>
      </c>
      <c r="I283" t="s">
        <v>3495</v>
      </c>
      <c r="J283">
        <v>10035</v>
      </c>
      <c r="K283" t="s">
        <v>3522</v>
      </c>
      <c r="L283" t="s">
        <v>3525</v>
      </c>
      <c r="N283" t="s">
        <v>4108</v>
      </c>
      <c r="O283" t="s">
        <v>4134</v>
      </c>
      <c r="Q283" t="s">
        <v>4147</v>
      </c>
      <c r="R283" t="s">
        <v>3522</v>
      </c>
      <c r="T283" t="s">
        <v>4156</v>
      </c>
      <c r="U283" t="s">
        <v>4168</v>
      </c>
      <c r="V283" t="s">
        <v>287</v>
      </c>
      <c r="W283">
        <v>1962.89</v>
      </c>
      <c r="X283" t="s">
        <v>4196</v>
      </c>
      <c r="Y283" t="s">
        <v>4200</v>
      </c>
      <c r="Z283" t="s">
        <v>4466</v>
      </c>
      <c r="AA283" t="s">
        <v>5542</v>
      </c>
      <c r="AB283" t="s">
        <v>5855</v>
      </c>
      <c r="AC283">
        <v>72</v>
      </c>
      <c r="AD283" t="s">
        <v>6772</v>
      </c>
      <c r="AE283" t="s">
        <v>6786</v>
      </c>
      <c r="AF283">
        <v>39</v>
      </c>
      <c r="AG283">
        <v>3</v>
      </c>
      <c r="AH283">
        <v>0</v>
      </c>
      <c r="AI283">
        <v>43.38</v>
      </c>
      <c r="AL283" t="s">
        <v>6801</v>
      </c>
      <c r="AM283">
        <v>9252</v>
      </c>
    </row>
    <row r="284" spans="1:44">
      <c r="A284" s="1">
        <f>HYPERLINK("https://lsnyc.legalserver.org/matter/dynamic-profile/view/1908588","19-1908588")</f>
        <v>0</v>
      </c>
      <c r="B284" t="s">
        <v>94</v>
      </c>
      <c r="C284" t="s">
        <v>279</v>
      </c>
      <c r="D284" t="s">
        <v>243</v>
      </c>
      <c r="E284" t="s">
        <v>605</v>
      </c>
      <c r="F284" t="s">
        <v>1295</v>
      </c>
      <c r="G284" t="s">
        <v>2396</v>
      </c>
      <c r="H284" t="s">
        <v>3207</v>
      </c>
      <c r="I284" t="s">
        <v>3495</v>
      </c>
      <c r="J284">
        <v>10035</v>
      </c>
      <c r="K284" t="s">
        <v>3522</v>
      </c>
      <c r="L284" t="s">
        <v>3525</v>
      </c>
      <c r="N284" t="s">
        <v>4112</v>
      </c>
      <c r="O284" t="s">
        <v>4135</v>
      </c>
      <c r="P284" t="s">
        <v>4142</v>
      </c>
      <c r="Q284" t="s">
        <v>4147</v>
      </c>
      <c r="R284" t="s">
        <v>3522</v>
      </c>
      <c r="T284" t="s">
        <v>4156</v>
      </c>
      <c r="U284" t="s">
        <v>4168</v>
      </c>
      <c r="V284" t="s">
        <v>298</v>
      </c>
      <c r="W284">
        <v>1967.89</v>
      </c>
      <c r="X284" t="s">
        <v>4196</v>
      </c>
      <c r="Y284" t="s">
        <v>4198</v>
      </c>
      <c r="Z284" t="s">
        <v>4466</v>
      </c>
      <c r="AA284" t="s">
        <v>5542</v>
      </c>
      <c r="AB284" t="s">
        <v>5855</v>
      </c>
      <c r="AC284">
        <v>72</v>
      </c>
      <c r="AD284" t="s">
        <v>6772</v>
      </c>
      <c r="AE284" t="s">
        <v>6786</v>
      </c>
      <c r="AF284">
        <v>39</v>
      </c>
      <c r="AG284">
        <v>3</v>
      </c>
      <c r="AH284">
        <v>0</v>
      </c>
      <c r="AI284">
        <v>43.38</v>
      </c>
      <c r="AL284" t="s">
        <v>6801</v>
      </c>
      <c r="AM284">
        <v>9252</v>
      </c>
    </row>
    <row r="285" spans="1:44">
      <c r="A285" s="1">
        <f>HYPERLINK("https://lsnyc.legalserver.org/matter/dynamic-profile/view/1912711","19-1912711")</f>
        <v>0</v>
      </c>
      <c r="B285" t="s">
        <v>94</v>
      </c>
      <c r="C285" t="s">
        <v>287</v>
      </c>
      <c r="E285" t="s">
        <v>605</v>
      </c>
      <c r="F285" t="s">
        <v>1295</v>
      </c>
      <c r="G285" t="s">
        <v>2396</v>
      </c>
      <c r="H285" t="s">
        <v>3207</v>
      </c>
      <c r="I285" t="s">
        <v>3495</v>
      </c>
      <c r="J285">
        <v>10035</v>
      </c>
      <c r="K285" t="s">
        <v>3522</v>
      </c>
      <c r="L285" t="s">
        <v>3525</v>
      </c>
      <c r="N285" t="s">
        <v>4112</v>
      </c>
      <c r="O285" t="s">
        <v>4135</v>
      </c>
      <c r="Q285" t="s">
        <v>4147</v>
      </c>
      <c r="R285" t="s">
        <v>3523</v>
      </c>
      <c r="T285" t="s">
        <v>4156</v>
      </c>
      <c r="U285" t="s">
        <v>4168</v>
      </c>
      <c r="V285" t="s">
        <v>287</v>
      </c>
      <c r="W285">
        <v>1962.89</v>
      </c>
      <c r="X285" t="s">
        <v>4196</v>
      </c>
      <c r="Y285" t="s">
        <v>4200</v>
      </c>
      <c r="Z285" t="s">
        <v>4466</v>
      </c>
      <c r="AA285" t="s">
        <v>5543</v>
      </c>
      <c r="AB285" t="s">
        <v>5855</v>
      </c>
      <c r="AC285">
        <v>72</v>
      </c>
      <c r="AD285" t="s">
        <v>6772</v>
      </c>
      <c r="AE285" t="s">
        <v>6786</v>
      </c>
      <c r="AF285">
        <v>39</v>
      </c>
      <c r="AG285">
        <v>3</v>
      </c>
      <c r="AH285">
        <v>0</v>
      </c>
      <c r="AI285">
        <v>43.38</v>
      </c>
      <c r="AL285" t="s">
        <v>6801</v>
      </c>
      <c r="AM285">
        <v>9252</v>
      </c>
    </row>
    <row r="286" spans="1:44">
      <c r="A286" s="1">
        <f>HYPERLINK("https://lsnyc.legalserver.org/matter/dynamic-profile/view/1914053","19-1914053")</f>
        <v>0</v>
      </c>
      <c r="B286" t="s">
        <v>99</v>
      </c>
      <c r="C286" t="s">
        <v>191</v>
      </c>
      <c r="E286" t="s">
        <v>520</v>
      </c>
      <c r="F286" t="s">
        <v>1478</v>
      </c>
      <c r="G286" t="s">
        <v>2373</v>
      </c>
      <c r="H286">
        <v>213</v>
      </c>
      <c r="I286" t="s">
        <v>3495</v>
      </c>
      <c r="J286">
        <v>10029</v>
      </c>
      <c r="K286" t="s">
        <v>3522</v>
      </c>
      <c r="L286" t="s">
        <v>3525</v>
      </c>
      <c r="N286" t="s">
        <v>4108</v>
      </c>
      <c r="O286" t="s">
        <v>4136</v>
      </c>
      <c r="Q286" t="s">
        <v>4147</v>
      </c>
      <c r="R286" t="s">
        <v>3522</v>
      </c>
      <c r="T286" t="s">
        <v>4156</v>
      </c>
      <c r="U286" t="s">
        <v>4168</v>
      </c>
      <c r="V286" t="s">
        <v>191</v>
      </c>
      <c r="W286">
        <v>62</v>
      </c>
      <c r="X286" t="s">
        <v>4196</v>
      </c>
      <c r="Y286" t="s">
        <v>4200</v>
      </c>
      <c r="Z286" t="s">
        <v>4467</v>
      </c>
      <c r="AB286" t="s">
        <v>5856</v>
      </c>
      <c r="AC286">
        <v>108</v>
      </c>
      <c r="AD286" t="s">
        <v>6772</v>
      </c>
      <c r="AE286" t="s">
        <v>6786</v>
      </c>
      <c r="AF286">
        <v>23</v>
      </c>
      <c r="AG286">
        <v>1</v>
      </c>
      <c r="AH286">
        <v>2</v>
      </c>
      <c r="AI286">
        <v>43.38</v>
      </c>
      <c r="AL286" t="s">
        <v>6802</v>
      </c>
      <c r="AM286">
        <v>9252</v>
      </c>
    </row>
    <row r="287" spans="1:44">
      <c r="A287" s="1">
        <f>HYPERLINK("https://lsnyc.legalserver.org/matter/dynamic-profile/view/1911035","19-1911035")</f>
        <v>0</v>
      </c>
      <c r="B287" t="s">
        <v>60</v>
      </c>
      <c r="C287" t="s">
        <v>270</v>
      </c>
      <c r="E287" t="s">
        <v>606</v>
      </c>
      <c r="F287" t="s">
        <v>1327</v>
      </c>
      <c r="G287" t="s">
        <v>2397</v>
      </c>
      <c r="H287" t="s">
        <v>3158</v>
      </c>
      <c r="I287" t="s">
        <v>3490</v>
      </c>
      <c r="J287">
        <v>11207</v>
      </c>
      <c r="K287" t="s">
        <v>3522</v>
      </c>
      <c r="L287" t="s">
        <v>3525</v>
      </c>
      <c r="M287" t="s">
        <v>3666</v>
      </c>
      <c r="N287" t="s">
        <v>4107</v>
      </c>
      <c r="O287" t="s">
        <v>4134</v>
      </c>
      <c r="Q287" t="s">
        <v>4147</v>
      </c>
      <c r="R287" t="s">
        <v>3523</v>
      </c>
      <c r="S287" t="s">
        <v>4151</v>
      </c>
      <c r="T287" t="s">
        <v>4156</v>
      </c>
      <c r="U287" t="s">
        <v>4168</v>
      </c>
      <c r="V287" t="s">
        <v>263</v>
      </c>
      <c r="W287">
        <v>600</v>
      </c>
      <c r="X287" t="s">
        <v>4193</v>
      </c>
      <c r="Y287" t="s">
        <v>4205</v>
      </c>
      <c r="Z287" t="s">
        <v>4468</v>
      </c>
      <c r="AA287" t="s">
        <v>3526</v>
      </c>
      <c r="AB287" t="s">
        <v>5857</v>
      </c>
      <c r="AC287">
        <v>2</v>
      </c>
      <c r="AD287" t="s">
        <v>6774</v>
      </c>
      <c r="AE287" t="s">
        <v>3526</v>
      </c>
      <c r="AF287">
        <v>25</v>
      </c>
      <c r="AG287">
        <v>1</v>
      </c>
      <c r="AH287">
        <v>0</v>
      </c>
      <c r="AI287">
        <v>43.71</v>
      </c>
      <c r="AL287" t="s">
        <v>6802</v>
      </c>
      <c r="AM287">
        <v>5460</v>
      </c>
    </row>
    <row r="288" spans="1:44">
      <c r="A288" s="1">
        <f>HYPERLINK("https://lsnyc.legalserver.org/matter/dynamic-profile/view/1917351","19-1917351")</f>
        <v>0</v>
      </c>
      <c r="B288" t="s">
        <v>54</v>
      </c>
      <c r="C288" t="s">
        <v>283</v>
      </c>
      <c r="E288" t="s">
        <v>607</v>
      </c>
      <c r="F288" t="s">
        <v>1479</v>
      </c>
      <c r="G288" t="s">
        <v>2385</v>
      </c>
      <c r="H288" t="s">
        <v>3183</v>
      </c>
      <c r="I288" t="s">
        <v>3490</v>
      </c>
      <c r="J288">
        <v>11207</v>
      </c>
      <c r="K288" t="s">
        <v>3522</v>
      </c>
      <c r="L288" t="s">
        <v>3526</v>
      </c>
      <c r="M288" t="s">
        <v>3526</v>
      </c>
      <c r="N288" t="s">
        <v>3554</v>
      </c>
      <c r="O288" t="s">
        <v>4135</v>
      </c>
      <c r="Q288" t="s">
        <v>4147</v>
      </c>
      <c r="R288" t="s">
        <v>3522</v>
      </c>
      <c r="T288" t="s">
        <v>4156</v>
      </c>
      <c r="U288" t="s">
        <v>4168</v>
      </c>
      <c r="V288" t="s">
        <v>195</v>
      </c>
      <c r="W288">
        <v>1250</v>
      </c>
      <c r="X288" t="s">
        <v>4193</v>
      </c>
      <c r="Y288" t="s">
        <v>4198</v>
      </c>
      <c r="Z288" t="s">
        <v>4469</v>
      </c>
      <c r="AA288" t="s">
        <v>5505</v>
      </c>
      <c r="AB288" t="s">
        <v>5858</v>
      </c>
      <c r="AC288">
        <v>6</v>
      </c>
      <c r="AD288" t="s">
        <v>6772</v>
      </c>
      <c r="AE288" t="s">
        <v>6790</v>
      </c>
      <c r="AF288">
        <v>7</v>
      </c>
      <c r="AG288">
        <v>1</v>
      </c>
      <c r="AH288">
        <v>1</v>
      </c>
      <c r="AI288">
        <v>44.31</v>
      </c>
      <c r="AL288" t="s">
        <v>6801</v>
      </c>
      <c r="AM288">
        <v>7492</v>
      </c>
    </row>
    <row r="289" spans="1:44">
      <c r="A289" s="1">
        <f>HYPERLINK("https://lsnyc.legalserver.org/matter/dynamic-profile/view/1894362","19-1894362")</f>
        <v>0</v>
      </c>
      <c r="B289" t="s">
        <v>125</v>
      </c>
      <c r="C289" t="s">
        <v>288</v>
      </c>
      <c r="D289" t="s">
        <v>233</v>
      </c>
      <c r="E289" t="s">
        <v>608</v>
      </c>
      <c r="F289" t="s">
        <v>1480</v>
      </c>
      <c r="G289" t="s">
        <v>2398</v>
      </c>
      <c r="H289" t="s">
        <v>3167</v>
      </c>
      <c r="I289" t="s">
        <v>3494</v>
      </c>
      <c r="J289">
        <v>10301</v>
      </c>
      <c r="K289" t="s">
        <v>3522</v>
      </c>
      <c r="L289" t="s">
        <v>3525</v>
      </c>
      <c r="M289" t="s">
        <v>3667</v>
      </c>
      <c r="N289" t="s">
        <v>4109</v>
      </c>
      <c r="O289" t="s">
        <v>4134</v>
      </c>
      <c r="P289" t="s">
        <v>4140</v>
      </c>
      <c r="Q289" t="s">
        <v>4147</v>
      </c>
      <c r="R289" t="s">
        <v>3523</v>
      </c>
      <c r="T289" t="s">
        <v>4156</v>
      </c>
      <c r="U289" t="s">
        <v>4168</v>
      </c>
      <c r="V289" t="s">
        <v>4175</v>
      </c>
      <c r="W289">
        <v>1515</v>
      </c>
      <c r="X289" t="s">
        <v>4195</v>
      </c>
      <c r="Y289" t="s">
        <v>4203</v>
      </c>
      <c r="Z289" t="s">
        <v>4470</v>
      </c>
      <c r="AB289" t="s">
        <v>5859</v>
      </c>
      <c r="AC289">
        <v>2</v>
      </c>
      <c r="AD289" t="s">
        <v>6771</v>
      </c>
      <c r="AE289" t="s">
        <v>6787</v>
      </c>
      <c r="AF289">
        <v>-1</v>
      </c>
      <c r="AG289">
        <v>1</v>
      </c>
      <c r="AH289">
        <v>2</v>
      </c>
      <c r="AI289">
        <v>44.44</v>
      </c>
      <c r="AL289" t="s">
        <v>6801</v>
      </c>
      <c r="AM289">
        <v>9480</v>
      </c>
      <c r="AO289" t="s">
        <v>6915</v>
      </c>
      <c r="AP289" t="s">
        <v>6924</v>
      </c>
      <c r="AQ289" t="s">
        <v>6945</v>
      </c>
      <c r="AR289" t="s">
        <v>6968</v>
      </c>
    </row>
    <row r="290" spans="1:44">
      <c r="A290" s="1">
        <f>HYPERLINK("https://lsnyc.legalserver.org/matter/dynamic-profile/view/1915151","19-1915151")</f>
        <v>0</v>
      </c>
      <c r="B290" t="s">
        <v>126</v>
      </c>
      <c r="C290" t="s">
        <v>182</v>
      </c>
      <c r="E290" t="s">
        <v>609</v>
      </c>
      <c r="F290" t="s">
        <v>1481</v>
      </c>
      <c r="G290" t="s">
        <v>2399</v>
      </c>
      <c r="H290" t="s">
        <v>3234</v>
      </c>
      <c r="I290" t="s">
        <v>3493</v>
      </c>
      <c r="J290">
        <v>10452</v>
      </c>
      <c r="K290" t="s">
        <v>3522</v>
      </c>
      <c r="L290" t="s">
        <v>3525</v>
      </c>
      <c r="N290" t="s">
        <v>3554</v>
      </c>
      <c r="O290" t="s">
        <v>4132</v>
      </c>
      <c r="Q290" t="s">
        <v>4147</v>
      </c>
      <c r="R290" t="s">
        <v>3523</v>
      </c>
      <c r="T290" t="s">
        <v>4156</v>
      </c>
      <c r="V290" t="s">
        <v>182</v>
      </c>
      <c r="W290">
        <v>410</v>
      </c>
      <c r="X290" t="s">
        <v>4194</v>
      </c>
      <c r="Y290" t="s">
        <v>4206</v>
      </c>
      <c r="Z290" t="s">
        <v>4471</v>
      </c>
      <c r="AB290" t="s">
        <v>5860</v>
      </c>
      <c r="AC290">
        <v>0</v>
      </c>
      <c r="AD290" t="s">
        <v>6779</v>
      </c>
      <c r="AE290" t="s">
        <v>6786</v>
      </c>
      <c r="AF290">
        <v>19</v>
      </c>
      <c r="AG290">
        <v>2</v>
      </c>
      <c r="AH290">
        <v>0</v>
      </c>
      <c r="AI290">
        <v>44.49</v>
      </c>
      <c r="AL290" t="s">
        <v>6802</v>
      </c>
      <c r="AM290">
        <v>7524</v>
      </c>
    </row>
    <row r="291" spans="1:44">
      <c r="A291" s="1">
        <f>HYPERLINK("https://lsnyc.legalserver.org/matter/dynamic-profile/view/1916224","19-1916224")</f>
        <v>0</v>
      </c>
      <c r="B291" t="s">
        <v>114</v>
      </c>
      <c r="C291" t="s">
        <v>208</v>
      </c>
      <c r="D291" t="s">
        <v>332</v>
      </c>
      <c r="E291" t="s">
        <v>502</v>
      </c>
      <c r="F291" t="s">
        <v>1482</v>
      </c>
      <c r="G291" t="s">
        <v>2344</v>
      </c>
      <c r="H291" t="s">
        <v>3195</v>
      </c>
      <c r="I291" t="s">
        <v>3495</v>
      </c>
      <c r="J291">
        <v>10034</v>
      </c>
      <c r="K291" t="s">
        <v>3522</v>
      </c>
      <c r="L291" t="s">
        <v>3525</v>
      </c>
      <c r="N291" t="s">
        <v>3554</v>
      </c>
      <c r="O291" t="s">
        <v>4132</v>
      </c>
      <c r="P291" t="s">
        <v>4139</v>
      </c>
      <c r="Q291" t="s">
        <v>4147</v>
      </c>
      <c r="R291" t="s">
        <v>3523</v>
      </c>
      <c r="T291" t="s">
        <v>4156</v>
      </c>
      <c r="V291" t="s">
        <v>208</v>
      </c>
      <c r="W291">
        <v>0</v>
      </c>
      <c r="X291" t="s">
        <v>4196</v>
      </c>
      <c r="Y291" t="s">
        <v>4198</v>
      </c>
      <c r="Z291" t="s">
        <v>4472</v>
      </c>
      <c r="AC291">
        <v>41</v>
      </c>
      <c r="AD291" t="s">
        <v>6772</v>
      </c>
      <c r="AE291" t="s">
        <v>3526</v>
      </c>
      <c r="AF291">
        <v>0</v>
      </c>
      <c r="AG291">
        <v>3</v>
      </c>
      <c r="AH291">
        <v>0</v>
      </c>
      <c r="AI291">
        <v>44.5</v>
      </c>
      <c r="AL291" t="s">
        <v>6802</v>
      </c>
      <c r="AM291">
        <v>9492</v>
      </c>
    </row>
    <row r="292" spans="1:44">
      <c r="A292" s="1">
        <f>HYPERLINK("https://lsnyc.legalserver.org/matter/dynamic-profile/view/1914621","19-1914621")</f>
        <v>0</v>
      </c>
      <c r="B292" t="s">
        <v>126</v>
      </c>
      <c r="C292" t="s">
        <v>269</v>
      </c>
      <c r="E292" t="s">
        <v>610</v>
      </c>
      <c r="F292" t="s">
        <v>1327</v>
      </c>
      <c r="G292" t="s">
        <v>2400</v>
      </c>
      <c r="H292" t="s">
        <v>3235</v>
      </c>
      <c r="I292" t="s">
        <v>3493</v>
      </c>
      <c r="J292">
        <v>10459</v>
      </c>
      <c r="K292" t="s">
        <v>3522</v>
      </c>
      <c r="L292" t="s">
        <v>3525</v>
      </c>
      <c r="N292" t="s">
        <v>3554</v>
      </c>
      <c r="O292" t="s">
        <v>4132</v>
      </c>
      <c r="Q292" t="s">
        <v>4147</v>
      </c>
      <c r="R292" t="s">
        <v>3523</v>
      </c>
      <c r="T292" t="s">
        <v>4156</v>
      </c>
      <c r="V292" t="s">
        <v>204</v>
      </c>
      <c r="W292">
        <v>1798.8</v>
      </c>
      <c r="X292" t="s">
        <v>4194</v>
      </c>
      <c r="Z292" t="s">
        <v>4473</v>
      </c>
      <c r="AA292" t="s">
        <v>5544</v>
      </c>
      <c r="AB292" t="s">
        <v>5861</v>
      </c>
      <c r="AC292">
        <v>0</v>
      </c>
      <c r="AD292" t="s">
        <v>6772</v>
      </c>
      <c r="AE292" t="s">
        <v>6788</v>
      </c>
      <c r="AF292">
        <v>3</v>
      </c>
      <c r="AG292">
        <v>1</v>
      </c>
      <c r="AH292">
        <v>2</v>
      </c>
      <c r="AI292">
        <v>44.56</v>
      </c>
      <c r="AL292" t="s">
        <v>6801</v>
      </c>
      <c r="AM292">
        <v>9504</v>
      </c>
    </row>
    <row r="293" spans="1:44">
      <c r="A293" s="1">
        <f>HYPERLINK("https://lsnyc.legalserver.org/matter/dynamic-profile/view/1914409","19-1914409")</f>
        <v>0</v>
      </c>
      <c r="B293" t="s">
        <v>124</v>
      </c>
      <c r="C293" t="s">
        <v>289</v>
      </c>
      <c r="E293" t="s">
        <v>414</v>
      </c>
      <c r="F293" t="s">
        <v>1483</v>
      </c>
      <c r="G293" t="s">
        <v>2401</v>
      </c>
      <c r="H293" t="s">
        <v>3236</v>
      </c>
      <c r="I293" t="s">
        <v>3493</v>
      </c>
      <c r="J293">
        <v>10457</v>
      </c>
      <c r="K293" t="s">
        <v>3522</v>
      </c>
      <c r="L293" t="s">
        <v>3525</v>
      </c>
      <c r="O293" t="s">
        <v>4132</v>
      </c>
      <c r="Q293" t="s">
        <v>4147</v>
      </c>
      <c r="T293" t="s">
        <v>4156</v>
      </c>
      <c r="V293" t="s">
        <v>269</v>
      </c>
      <c r="W293">
        <v>0</v>
      </c>
      <c r="X293" t="s">
        <v>4194</v>
      </c>
      <c r="Z293" t="s">
        <v>4474</v>
      </c>
      <c r="AA293" t="s">
        <v>5545</v>
      </c>
      <c r="AB293" t="s">
        <v>5862</v>
      </c>
      <c r="AC293">
        <v>0</v>
      </c>
      <c r="AF293">
        <v>0</v>
      </c>
      <c r="AG293">
        <v>2</v>
      </c>
      <c r="AH293">
        <v>3</v>
      </c>
      <c r="AI293">
        <v>44.59</v>
      </c>
      <c r="AL293" t="s">
        <v>6801</v>
      </c>
      <c r="AM293">
        <v>13452</v>
      </c>
    </row>
    <row r="294" spans="1:44">
      <c r="A294" s="1">
        <f>HYPERLINK("https://lsnyc.legalserver.org/matter/dynamic-profile/view/1915864","19-1915864")</f>
        <v>0</v>
      </c>
      <c r="B294" t="s">
        <v>127</v>
      </c>
      <c r="C294" t="s">
        <v>220</v>
      </c>
      <c r="E294" t="s">
        <v>479</v>
      </c>
      <c r="F294" t="s">
        <v>1484</v>
      </c>
      <c r="G294" t="s">
        <v>2402</v>
      </c>
      <c r="H294" t="s">
        <v>3132</v>
      </c>
      <c r="I294" t="s">
        <v>3488</v>
      </c>
      <c r="J294">
        <v>11358</v>
      </c>
      <c r="K294" t="s">
        <v>3522</v>
      </c>
      <c r="L294" t="s">
        <v>3525</v>
      </c>
      <c r="M294" t="s">
        <v>3668</v>
      </c>
      <c r="N294" t="s">
        <v>4107</v>
      </c>
      <c r="O294" t="s">
        <v>4136</v>
      </c>
      <c r="Q294" t="s">
        <v>4147</v>
      </c>
      <c r="R294" t="s">
        <v>3523</v>
      </c>
      <c r="T294" t="s">
        <v>4156</v>
      </c>
      <c r="V294" t="s">
        <v>220</v>
      </c>
      <c r="W294">
        <v>2000</v>
      </c>
      <c r="X294" t="s">
        <v>4192</v>
      </c>
      <c r="Y294" t="s">
        <v>4197</v>
      </c>
      <c r="Z294" t="s">
        <v>4475</v>
      </c>
      <c r="AB294" t="s">
        <v>5863</v>
      </c>
      <c r="AC294">
        <v>2</v>
      </c>
      <c r="AD294" t="s">
        <v>5524</v>
      </c>
      <c r="AE294" t="s">
        <v>3526</v>
      </c>
      <c r="AF294">
        <v>-1</v>
      </c>
      <c r="AG294">
        <v>1</v>
      </c>
      <c r="AH294">
        <v>5</v>
      </c>
      <c r="AI294">
        <v>45.1</v>
      </c>
      <c r="AL294" t="s">
        <v>6802</v>
      </c>
      <c r="AM294">
        <v>15600</v>
      </c>
    </row>
    <row r="295" spans="1:44">
      <c r="A295" s="1">
        <f>HYPERLINK("https://lsnyc.legalserver.org/matter/dynamic-profile/view/1904987","19-1904987")</f>
        <v>0</v>
      </c>
      <c r="B295" t="s">
        <v>89</v>
      </c>
      <c r="C295" t="s">
        <v>272</v>
      </c>
      <c r="D295" t="s">
        <v>227</v>
      </c>
      <c r="E295" t="s">
        <v>611</v>
      </c>
      <c r="F295" t="s">
        <v>1265</v>
      </c>
      <c r="G295" t="s">
        <v>2403</v>
      </c>
      <c r="H295" t="s">
        <v>3135</v>
      </c>
      <c r="I295" t="s">
        <v>3495</v>
      </c>
      <c r="J295">
        <v>10034</v>
      </c>
      <c r="K295" t="s">
        <v>3522</v>
      </c>
      <c r="L295" t="s">
        <v>3525</v>
      </c>
      <c r="N295" t="s">
        <v>4113</v>
      </c>
      <c r="O295" t="s">
        <v>4132</v>
      </c>
      <c r="P295" t="s">
        <v>4139</v>
      </c>
      <c r="Q295" t="s">
        <v>4147</v>
      </c>
      <c r="R295" t="s">
        <v>3523</v>
      </c>
      <c r="T295" t="s">
        <v>4156</v>
      </c>
      <c r="V295" t="s">
        <v>272</v>
      </c>
      <c r="W295">
        <v>980.67</v>
      </c>
      <c r="X295" t="s">
        <v>4196</v>
      </c>
      <c r="Y295" t="s">
        <v>4201</v>
      </c>
      <c r="Z295" t="s">
        <v>4476</v>
      </c>
      <c r="AB295" t="s">
        <v>5864</v>
      </c>
      <c r="AC295">
        <v>26</v>
      </c>
      <c r="AD295" t="s">
        <v>6772</v>
      </c>
      <c r="AE295" t="s">
        <v>6791</v>
      </c>
      <c r="AF295">
        <v>9</v>
      </c>
      <c r="AG295">
        <v>2</v>
      </c>
      <c r="AH295">
        <v>1</v>
      </c>
      <c r="AI295">
        <v>45.34</v>
      </c>
      <c r="AL295" t="s">
        <v>6802</v>
      </c>
      <c r="AM295">
        <v>9672</v>
      </c>
    </row>
    <row r="296" spans="1:44">
      <c r="A296" s="1">
        <f>HYPERLINK("https://lsnyc.legalserver.org/matter/dynamic-profile/view/1907720","19-1907720")</f>
        <v>0</v>
      </c>
      <c r="B296" t="s">
        <v>96</v>
      </c>
      <c r="C296" t="s">
        <v>284</v>
      </c>
      <c r="D296" t="s">
        <v>247</v>
      </c>
      <c r="E296" t="s">
        <v>612</v>
      </c>
      <c r="F296" t="s">
        <v>1485</v>
      </c>
      <c r="G296" t="s">
        <v>2404</v>
      </c>
      <c r="H296" t="s">
        <v>3202</v>
      </c>
      <c r="I296" t="s">
        <v>3493</v>
      </c>
      <c r="J296">
        <v>10468</v>
      </c>
      <c r="K296" t="s">
        <v>3522</v>
      </c>
      <c r="L296" t="s">
        <v>3525</v>
      </c>
      <c r="N296" t="s">
        <v>4113</v>
      </c>
      <c r="O296" t="s">
        <v>4132</v>
      </c>
      <c r="P296" t="s">
        <v>4139</v>
      </c>
      <c r="Q296" t="s">
        <v>4147</v>
      </c>
      <c r="R296" t="s">
        <v>3523</v>
      </c>
      <c r="T296" t="s">
        <v>4156</v>
      </c>
      <c r="U296" t="s">
        <v>4168</v>
      </c>
      <c r="V296" t="s">
        <v>247</v>
      </c>
      <c r="W296">
        <v>1211.26</v>
      </c>
      <c r="X296" t="s">
        <v>4194</v>
      </c>
      <c r="Y296" t="s">
        <v>4206</v>
      </c>
      <c r="Z296" t="s">
        <v>4477</v>
      </c>
      <c r="AC296">
        <v>90</v>
      </c>
      <c r="AD296" t="s">
        <v>6772</v>
      </c>
      <c r="AE296" t="s">
        <v>3526</v>
      </c>
      <c r="AF296">
        <v>18</v>
      </c>
      <c r="AG296">
        <v>2</v>
      </c>
      <c r="AH296">
        <v>0</v>
      </c>
      <c r="AI296">
        <v>46.13</v>
      </c>
      <c r="AL296" t="s">
        <v>6802</v>
      </c>
      <c r="AM296">
        <v>7800</v>
      </c>
    </row>
    <row r="297" spans="1:44">
      <c r="A297" s="1">
        <f>HYPERLINK("https://lsnyc.legalserver.org/matter/dynamic-profile/view/1914413","19-1914413")</f>
        <v>0</v>
      </c>
      <c r="B297" t="s">
        <v>89</v>
      </c>
      <c r="C297" t="s">
        <v>289</v>
      </c>
      <c r="E297" t="s">
        <v>613</v>
      </c>
      <c r="F297" t="s">
        <v>987</v>
      </c>
      <c r="G297" t="s">
        <v>2405</v>
      </c>
      <c r="H297" t="s">
        <v>3237</v>
      </c>
      <c r="I297" t="s">
        <v>3495</v>
      </c>
      <c r="J297">
        <v>10034</v>
      </c>
      <c r="K297" t="s">
        <v>3522</v>
      </c>
      <c r="L297" t="s">
        <v>3525</v>
      </c>
      <c r="M297" t="s">
        <v>3669</v>
      </c>
      <c r="N297" t="s">
        <v>4109</v>
      </c>
      <c r="O297" t="s">
        <v>4136</v>
      </c>
      <c r="Q297" t="s">
        <v>4147</v>
      </c>
      <c r="R297" t="s">
        <v>3523</v>
      </c>
      <c r="T297" t="s">
        <v>4156</v>
      </c>
      <c r="V297" t="s">
        <v>325</v>
      </c>
      <c r="W297">
        <v>1750</v>
      </c>
      <c r="X297" t="s">
        <v>4196</v>
      </c>
      <c r="Y297" t="s">
        <v>4210</v>
      </c>
      <c r="Z297" t="s">
        <v>4478</v>
      </c>
      <c r="AB297" t="s">
        <v>5865</v>
      </c>
      <c r="AC297">
        <v>40</v>
      </c>
      <c r="AD297" t="s">
        <v>6772</v>
      </c>
      <c r="AE297" t="s">
        <v>6788</v>
      </c>
      <c r="AF297">
        <v>2</v>
      </c>
      <c r="AG297">
        <v>1</v>
      </c>
      <c r="AH297">
        <v>2</v>
      </c>
      <c r="AI297">
        <v>46.32</v>
      </c>
      <c r="AL297" t="s">
        <v>6802</v>
      </c>
      <c r="AM297">
        <v>9880</v>
      </c>
    </row>
    <row r="298" spans="1:44">
      <c r="A298" s="1">
        <f>HYPERLINK("https://lsnyc.legalserver.org/matter/dynamic-profile/view/1891183","19-1891183")</f>
        <v>0</v>
      </c>
      <c r="B298" t="s">
        <v>122</v>
      </c>
      <c r="C298" t="s">
        <v>290</v>
      </c>
      <c r="E298" t="s">
        <v>614</v>
      </c>
      <c r="F298" t="s">
        <v>1486</v>
      </c>
      <c r="G298" t="s">
        <v>2406</v>
      </c>
      <c r="I298" t="s">
        <v>3487</v>
      </c>
      <c r="J298">
        <v>11368</v>
      </c>
      <c r="K298" t="s">
        <v>3522</v>
      </c>
      <c r="L298" t="s">
        <v>3527</v>
      </c>
      <c r="M298" t="s">
        <v>3670</v>
      </c>
      <c r="N298" t="s">
        <v>4107</v>
      </c>
      <c r="O298" t="s">
        <v>4135</v>
      </c>
      <c r="Q298" t="s">
        <v>4147</v>
      </c>
      <c r="R298" t="s">
        <v>3523</v>
      </c>
      <c r="T298" t="s">
        <v>4156</v>
      </c>
      <c r="U298" t="s">
        <v>4168</v>
      </c>
      <c r="V298" t="s">
        <v>228</v>
      </c>
      <c r="W298">
        <v>1400</v>
      </c>
      <c r="X298" t="s">
        <v>4192</v>
      </c>
      <c r="Y298" t="s">
        <v>4197</v>
      </c>
      <c r="Z298" t="s">
        <v>4479</v>
      </c>
      <c r="AA298" t="s">
        <v>5546</v>
      </c>
      <c r="AB298" t="s">
        <v>5866</v>
      </c>
      <c r="AC298">
        <v>25</v>
      </c>
      <c r="AD298" t="s">
        <v>6771</v>
      </c>
      <c r="AE298" t="s">
        <v>6788</v>
      </c>
      <c r="AF298">
        <v>6</v>
      </c>
      <c r="AG298">
        <v>1</v>
      </c>
      <c r="AH298">
        <v>3</v>
      </c>
      <c r="AI298">
        <v>46.6</v>
      </c>
      <c r="AL298" t="s">
        <v>6802</v>
      </c>
      <c r="AM298">
        <v>12000</v>
      </c>
    </row>
    <row r="299" spans="1:44">
      <c r="A299" s="1">
        <f>HYPERLINK("https://lsnyc.legalserver.org/matter/dynamic-profile/view/1911630","19-1911630")</f>
        <v>0</v>
      </c>
      <c r="B299" t="s">
        <v>69</v>
      </c>
      <c r="C299" t="s">
        <v>291</v>
      </c>
      <c r="D299" t="s">
        <v>223</v>
      </c>
      <c r="E299" t="s">
        <v>615</v>
      </c>
      <c r="F299" t="s">
        <v>1357</v>
      </c>
      <c r="G299" t="s">
        <v>2407</v>
      </c>
      <c r="I299" t="s">
        <v>3490</v>
      </c>
      <c r="J299">
        <v>11207</v>
      </c>
      <c r="K299" t="s">
        <v>3522</v>
      </c>
      <c r="L299" t="s">
        <v>3525</v>
      </c>
      <c r="M299" t="s">
        <v>3671</v>
      </c>
      <c r="N299" t="s">
        <v>4109</v>
      </c>
      <c r="O299" t="s">
        <v>4135</v>
      </c>
      <c r="P299" t="s">
        <v>4139</v>
      </c>
      <c r="Q299" t="s">
        <v>4147</v>
      </c>
      <c r="R299" t="s">
        <v>3523</v>
      </c>
      <c r="T299" t="s">
        <v>4156</v>
      </c>
      <c r="U299" t="s">
        <v>4168</v>
      </c>
      <c r="V299" t="s">
        <v>198</v>
      </c>
      <c r="W299">
        <v>1441</v>
      </c>
      <c r="X299" t="s">
        <v>4193</v>
      </c>
      <c r="Y299" t="s">
        <v>4205</v>
      </c>
      <c r="Z299" t="s">
        <v>4480</v>
      </c>
      <c r="AA299" t="s">
        <v>5485</v>
      </c>
      <c r="AB299" t="s">
        <v>5867</v>
      </c>
      <c r="AC299">
        <v>2</v>
      </c>
      <c r="AD299" t="s">
        <v>6776</v>
      </c>
      <c r="AE299" t="s">
        <v>6789</v>
      </c>
      <c r="AF299">
        <v>2</v>
      </c>
      <c r="AG299">
        <v>6</v>
      </c>
      <c r="AH299">
        <v>2</v>
      </c>
      <c r="AI299">
        <v>47.89</v>
      </c>
      <c r="AL299" t="s">
        <v>6802</v>
      </c>
      <c r="AM299">
        <v>20800</v>
      </c>
    </row>
    <row r="300" spans="1:44">
      <c r="A300" s="1">
        <f>HYPERLINK("https://lsnyc.legalserver.org/matter/dynamic-profile/view/1907400","19-1907400")</f>
        <v>0</v>
      </c>
      <c r="B300" t="s">
        <v>96</v>
      </c>
      <c r="C300" t="s">
        <v>225</v>
      </c>
      <c r="D300" t="s">
        <v>201</v>
      </c>
      <c r="E300" t="s">
        <v>616</v>
      </c>
      <c r="F300" t="s">
        <v>1487</v>
      </c>
      <c r="G300" t="s">
        <v>2408</v>
      </c>
      <c r="H300" t="s">
        <v>3238</v>
      </c>
      <c r="I300" t="s">
        <v>3493</v>
      </c>
      <c r="J300">
        <v>10454</v>
      </c>
      <c r="K300" t="s">
        <v>3522</v>
      </c>
      <c r="L300" t="s">
        <v>3525</v>
      </c>
      <c r="O300" t="s">
        <v>4134</v>
      </c>
      <c r="P300" t="s">
        <v>4140</v>
      </c>
      <c r="Q300" t="s">
        <v>4147</v>
      </c>
      <c r="R300" t="s">
        <v>3523</v>
      </c>
      <c r="T300" t="s">
        <v>4156</v>
      </c>
      <c r="U300" t="s">
        <v>4168</v>
      </c>
      <c r="V300" t="s">
        <v>234</v>
      </c>
      <c r="W300">
        <v>970.58</v>
      </c>
      <c r="X300" t="s">
        <v>4194</v>
      </c>
      <c r="Y300" t="s">
        <v>4206</v>
      </c>
      <c r="Z300" t="s">
        <v>4481</v>
      </c>
      <c r="AB300" t="s">
        <v>5868</v>
      </c>
      <c r="AC300">
        <v>419</v>
      </c>
      <c r="AD300" t="s">
        <v>6772</v>
      </c>
      <c r="AE300" t="s">
        <v>6790</v>
      </c>
      <c r="AF300">
        <v>6</v>
      </c>
      <c r="AG300">
        <v>1</v>
      </c>
      <c r="AH300">
        <v>0</v>
      </c>
      <c r="AI300">
        <v>48.04</v>
      </c>
      <c r="AL300" t="s">
        <v>6801</v>
      </c>
      <c r="AM300">
        <v>6000</v>
      </c>
    </row>
    <row r="301" spans="1:44">
      <c r="A301" s="1">
        <f>HYPERLINK("https://lsnyc.legalserver.org/matter/dynamic-profile/view/1895548","19-1895548")</f>
        <v>0</v>
      </c>
      <c r="B301" t="s">
        <v>104</v>
      </c>
      <c r="C301" t="s">
        <v>292</v>
      </c>
      <c r="D301" t="s">
        <v>299</v>
      </c>
      <c r="E301" t="s">
        <v>617</v>
      </c>
      <c r="F301" t="s">
        <v>1488</v>
      </c>
      <c r="G301" t="s">
        <v>2409</v>
      </c>
      <c r="H301" t="s">
        <v>3167</v>
      </c>
      <c r="I301" t="s">
        <v>3493</v>
      </c>
      <c r="J301">
        <v>10453</v>
      </c>
      <c r="K301" t="s">
        <v>3523</v>
      </c>
      <c r="L301" t="s">
        <v>3526</v>
      </c>
      <c r="N301" t="s">
        <v>3554</v>
      </c>
      <c r="O301" t="s">
        <v>4132</v>
      </c>
      <c r="P301" t="s">
        <v>4139</v>
      </c>
      <c r="Q301" t="s">
        <v>4147</v>
      </c>
      <c r="R301" t="s">
        <v>3523</v>
      </c>
      <c r="T301" t="s">
        <v>4159</v>
      </c>
      <c r="V301" t="s">
        <v>299</v>
      </c>
      <c r="W301">
        <v>1483</v>
      </c>
      <c r="X301" t="s">
        <v>4194</v>
      </c>
      <c r="Z301" t="s">
        <v>4482</v>
      </c>
      <c r="AB301" t="s">
        <v>5869</v>
      </c>
      <c r="AC301">
        <v>0</v>
      </c>
      <c r="AE301" t="s">
        <v>6786</v>
      </c>
      <c r="AF301">
        <v>12</v>
      </c>
      <c r="AG301">
        <v>2</v>
      </c>
      <c r="AH301">
        <v>2</v>
      </c>
      <c r="AI301">
        <v>48.47</v>
      </c>
      <c r="AL301" t="s">
        <v>6801</v>
      </c>
      <c r="AM301">
        <v>12480</v>
      </c>
    </row>
    <row r="302" spans="1:44">
      <c r="A302" s="1">
        <f>HYPERLINK("https://lsnyc.legalserver.org/matter/dynamic-profile/view/1907666","19-1907666")</f>
        <v>0</v>
      </c>
      <c r="B302" t="s">
        <v>52</v>
      </c>
      <c r="C302" t="s">
        <v>284</v>
      </c>
      <c r="E302" t="s">
        <v>618</v>
      </c>
      <c r="F302" t="s">
        <v>1489</v>
      </c>
      <c r="G302" t="s">
        <v>2410</v>
      </c>
      <c r="H302" t="s">
        <v>3133</v>
      </c>
      <c r="I302" t="s">
        <v>3490</v>
      </c>
      <c r="J302">
        <v>11226</v>
      </c>
      <c r="K302" t="s">
        <v>3522</v>
      </c>
      <c r="L302" t="s">
        <v>3525</v>
      </c>
      <c r="N302" t="s">
        <v>4110</v>
      </c>
      <c r="O302" t="s">
        <v>4137</v>
      </c>
      <c r="Q302" t="s">
        <v>4147</v>
      </c>
      <c r="R302" t="s">
        <v>3522</v>
      </c>
      <c r="T302" t="s">
        <v>4156</v>
      </c>
      <c r="V302" t="s">
        <v>284</v>
      </c>
      <c r="W302">
        <v>0</v>
      </c>
      <c r="X302" t="s">
        <v>4193</v>
      </c>
      <c r="Z302" t="s">
        <v>4483</v>
      </c>
      <c r="AC302">
        <v>36</v>
      </c>
      <c r="AD302" t="s">
        <v>6772</v>
      </c>
      <c r="AF302">
        <v>0</v>
      </c>
      <c r="AG302">
        <v>2</v>
      </c>
      <c r="AH302">
        <v>1</v>
      </c>
      <c r="AI302">
        <v>48.76</v>
      </c>
      <c r="AL302" t="s">
        <v>6802</v>
      </c>
      <c r="AM302">
        <v>10400</v>
      </c>
      <c r="AN302" t="s">
        <v>6837</v>
      </c>
    </row>
    <row r="303" spans="1:44">
      <c r="A303" s="1">
        <f>HYPERLINK("https://lsnyc.legalserver.org/matter/dynamic-profile/view/1909560","19-1909560")</f>
        <v>0</v>
      </c>
      <c r="B303" t="s">
        <v>60</v>
      </c>
      <c r="C303" t="s">
        <v>184</v>
      </c>
      <c r="E303" t="s">
        <v>619</v>
      </c>
      <c r="F303" t="s">
        <v>1490</v>
      </c>
      <c r="G303" t="s">
        <v>2411</v>
      </c>
      <c r="H303" t="s">
        <v>3205</v>
      </c>
      <c r="I303" t="s">
        <v>3490</v>
      </c>
      <c r="J303">
        <v>11212</v>
      </c>
      <c r="K303" t="s">
        <v>3522</v>
      </c>
      <c r="L303" t="s">
        <v>3525</v>
      </c>
      <c r="M303" t="s">
        <v>3672</v>
      </c>
      <c r="N303" t="s">
        <v>4107</v>
      </c>
      <c r="O303" t="s">
        <v>4134</v>
      </c>
      <c r="Q303" t="s">
        <v>4147</v>
      </c>
      <c r="R303" t="s">
        <v>3523</v>
      </c>
      <c r="T303" t="s">
        <v>4156</v>
      </c>
      <c r="U303" t="s">
        <v>4168</v>
      </c>
      <c r="V303" t="s">
        <v>198</v>
      </c>
      <c r="W303">
        <v>693</v>
      </c>
      <c r="X303" t="s">
        <v>4193</v>
      </c>
      <c r="Y303" t="s">
        <v>4205</v>
      </c>
      <c r="Z303" t="s">
        <v>4370</v>
      </c>
      <c r="AA303" t="s">
        <v>5547</v>
      </c>
      <c r="AB303" t="s">
        <v>5870</v>
      </c>
      <c r="AC303">
        <v>80</v>
      </c>
      <c r="AD303" t="s">
        <v>5524</v>
      </c>
      <c r="AE303" t="s">
        <v>6787</v>
      </c>
      <c r="AF303">
        <v>10</v>
      </c>
      <c r="AG303">
        <v>1</v>
      </c>
      <c r="AH303">
        <v>4</v>
      </c>
      <c r="AI303">
        <v>49.11</v>
      </c>
      <c r="AL303" t="s">
        <v>6801</v>
      </c>
      <c r="AM303">
        <v>14816</v>
      </c>
    </row>
    <row r="304" spans="1:44">
      <c r="A304" s="1">
        <f>HYPERLINK("https://lsnyc.legalserver.org/matter/dynamic-profile/view/1909512","19-1909512")</f>
        <v>0</v>
      </c>
      <c r="B304" t="s">
        <v>117</v>
      </c>
      <c r="C304" t="s">
        <v>184</v>
      </c>
      <c r="E304" t="s">
        <v>620</v>
      </c>
      <c r="F304" t="s">
        <v>1328</v>
      </c>
      <c r="G304" t="s">
        <v>2412</v>
      </c>
      <c r="H304" t="s">
        <v>3132</v>
      </c>
      <c r="I304" t="s">
        <v>3480</v>
      </c>
      <c r="J304">
        <v>11435</v>
      </c>
      <c r="K304" t="s">
        <v>3522</v>
      </c>
      <c r="L304" t="s">
        <v>3525</v>
      </c>
      <c r="M304" t="s">
        <v>3673</v>
      </c>
      <c r="N304" t="s">
        <v>4107</v>
      </c>
      <c r="O304" t="s">
        <v>4134</v>
      </c>
      <c r="Q304" t="s">
        <v>4147</v>
      </c>
      <c r="R304" t="s">
        <v>3523</v>
      </c>
      <c r="T304" t="s">
        <v>4156</v>
      </c>
      <c r="U304" t="s">
        <v>4168</v>
      </c>
      <c r="V304" t="s">
        <v>184</v>
      </c>
      <c r="W304">
        <v>1533</v>
      </c>
      <c r="X304" t="s">
        <v>4192</v>
      </c>
      <c r="Y304" t="s">
        <v>4197</v>
      </c>
      <c r="Z304" t="s">
        <v>4484</v>
      </c>
      <c r="AA304" t="s">
        <v>5548</v>
      </c>
      <c r="AB304" t="s">
        <v>5871</v>
      </c>
      <c r="AC304">
        <v>2</v>
      </c>
      <c r="AD304" t="s">
        <v>5524</v>
      </c>
      <c r="AE304" t="s">
        <v>6786</v>
      </c>
      <c r="AF304">
        <v>6</v>
      </c>
      <c r="AG304">
        <v>2</v>
      </c>
      <c r="AH304">
        <v>0</v>
      </c>
      <c r="AI304">
        <v>49.2</v>
      </c>
      <c r="AL304" t="s">
        <v>6801</v>
      </c>
      <c r="AM304">
        <v>8320</v>
      </c>
    </row>
    <row r="305" spans="1:44">
      <c r="A305" s="1">
        <f>HYPERLINK("https://lsnyc.legalserver.org/matter/dynamic-profile/view/1904449","19-1904449")</f>
        <v>0</v>
      </c>
      <c r="B305" t="s">
        <v>104</v>
      </c>
      <c r="C305" t="s">
        <v>293</v>
      </c>
      <c r="D305" t="s">
        <v>324</v>
      </c>
      <c r="E305" t="s">
        <v>621</v>
      </c>
      <c r="F305" t="s">
        <v>1491</v>
      </c>
      <c r="G305" t="s">
        <v>2413</v>
      </c>
      <c r="H305" t="s">
        <v>3211</v>
      </c>
      <c r="I305" t="s">
        <v>3493</v>
      </c>
      <c r="J305">
        <v>10452</v>
      </c>
      <c r="K305" t="s">
        <v>3522</v>
      </c>
      <c r="L305" t="s">
        <v>3525</v>
      </c>
      <c r="M305" t="s">
        <v>3562</v>
      </c>
      <c r="N305" t="s">
        <v>3554</v>
      </c>
      <c r="O305" t="s">
        <v>4132</v>
      </c>
      <c r="P305" t="s">
        <v>4139</v>
      </c>
      <c r="Q305" t="s">
        <v>4147</v>
      </c>
      <c r="R305" t="s">
        <v>3523</v>
      </c>
      <c r="T305" t="s">
        <v>4156</v>
      </c>
      <c r="V305" t="s">
        <v>276</v>
      </c>
      <c r="W305">
        <v>702.21</v>
      </c>
      <c r="X305" t="s">
        <v>4194</v>
      </c>
      <c r="Z305" t="s">
        <v>4485</v>
      </c>
      <c r="AB305" t="s">
        <v>5872</v>
      </c>
      <c r="AC305">
        <v>42</v>
      </c>
      <c r="AD305" t="s">
        <v>6771</v>
      </c>
      <c r="AE305" t="s">
        <v>3526</v>
      </c>
      <c r="AF305">
        <v>4</v>
      </c>
      <c r="AG305">
        <v>1</v>
      </c>
      <c r="AH305">
        <v>2</v>
      </c>
      <c r="AI305">
        <v>49.4</v>
      </c>
      <c r="AL305" t="s">
        <v>6802</v>
      </c>
      <c r="AM305">
        <v>10536</v>
      </c>
    </row>
    <row r="306" spans="1:44">
      <c r="A306" s="1">
        <f>HYPERLINK("https://lsnyc.legalserver.org/matter/dynamic-profile/view/1896748","19-1896748")</f>
        <v>0</v>
      </c>
      <c r="B306" t="s">
        <v>97</v>
      </c>
      <c r="C306" t="s">
        <v>294</v>
      </c>
      <c r="E306" t="s">
        <v>622</v>
      </c>
      <c r="F306" t="s">
        <v>1492</v>
      </c>
      <c r="G306" t="s">
        <v>2414</v>
      </c>
      <c r="H306" t="s">
        <v>3151</v>
      </c>
      <c r="I306" t="s">
        <v>3490</v>
      </c>
      <c r="J306">
        <v>11213</v>
      </c>
      <c r="K306" t="s">
        <v>3522</v>
      </c>
      <c r="L306" t="s">
        <v>3525</v>
      </c>
      <c r="M306" t="s">
        <v>3674</v>
      </c>
      <c r="N306" t="s">
        <v>4108</v>
      </c>
      <c r="O306" t="s">
        <v>4134</v>
      </c>
      <c r="Q306" t="s">
        <v>4147</v>
      </c>
      <c r="R306" t="s">
        <v>3522</v>
      </c>
      <c r="T306" t="s">
        <v>4156</v>
      </c>
      <c r="V306" t="s">
        <v>261</v>
      </c>
      <c r="W306">
        <v>551</v>
      </c>
      <c r="X306" t="s">
        <v>4193</v>
      </c>
      <c r="Y306" t="s">
        <v>4206</v>
      </c>
      <c r="Z306" t="s">
        <v>4486</v>
      </c>
      <c r="AB306" t="s">
        <v>5873</v>
      </c>
      <c r="AC306">
        <v>6</v>
      </c>
      <c r="AD306" t="s">
        <v>6772</v>
      </c>
      <c r="AE306" t="s">
        <v>3526</v>
      </c>
      <c r="AF306">
        <v>15</v>
      </c>
      <c r="AG306">
        <v>2</v>
      </c>
      <c r="AH306">
        <v>0</v>
      </c>
      <c r="AI306">
        <v>49.67</v>
      </c>
      <c r="AL306" t="s">
        <v>6801</v>
      </c>
      <c r="AM306">
        <v>8400</v>
      </c>
      <c r="AN306" t="s">
        <v>6838</v>
      </c>
    </row>
    <row r="307" spans="1:44">
      <c r="A307" s="1">
        <f>HYPERLINK("https://lsnyc.legalserver.org/matter/dynamic-profile/view/1905891","19-1905891")</f>
        <v>0</v>
      </c>
      <c r="B307" t="s">
        <v>97</v>
      </c>
      <c r="C307" t="s">
        <v>228</v>
      </c>
      <c r="E307" t="s">
        <v>622</v>
      </c>
      <c r="F307" t="s">
        <v>1492</v>
      </c>
      <c r="G307" t="s">
        <v>2414</v>
      </c>
      <c r="H307" t="s">
        <v>3151</v>
      </c>
      <c r="I307" t="s">
        <v>3490</v>
      </c>
      <c r="J307">
        <v>11213</v>
      </c>
      <c r="K307" t="s">
        <v>3522</v>
      </c>
      <c r="L307" t="s">
        <v>3525</v>
      </c>
      <c r="M307" t="s">
        <v>3554</v>
      </c>
      <c r="N307" t="s">
        <v>4112</v>
      </c>
      <c r="O307" t="s">
        <v>4135</v>
      </c>
      <c r="Q307" t="s">
        <v>4147</v>
      </c>
      <c r="R307" t="s">
        <v>3522</v>
      </c>
      <c r="T307" t="s">
        <v>4156</v>
      </c>
      <c r="U307" t="s">
        <v>4168</v>
      </c>
      <c r="V307" t="s">
        <v>228</v>
      </c>
      <c r="W307">
        <v>551</v>
      </c>
      <c r="X307" t="s">
        <v>4193</v>
      </c>
      <c r="Y307" t="s">
        <v>4201</v>
      </c>
      <c r="Z307" t="s">
        <v>4486</v>
      </c>
      <c r="AA307" t="s">
        <v>3526</v>
      </c>
      <c r="AB307" t="s">
        <v>5873</v>
      </c>
      <c r="AC307">
        <v>6</v>
      </c>
      <c r="AD307" t="s">
        <v>6772</v>
      </c>
      <c r="AE307" t="s">
        <v>3526</v>
      </c>
      <c r="AF307">
        <v>15</v>
      </c>
      <c r="AG307">
        <v>2</v>
      </c>
      <c r="AH307">
        <v>0</v>
      </c>
      <c r="AI307">
        <v>49.67</v>
      </c>
      <c r="AL307" t="s">
        <v>6801</v>
      </c>
      <c r="AM307">
        <v>8400</v>
      </c>
      <c r="AN307" t="s">
        <v>6839</v>
      </c>
    </row>
    <row r="308" spans="1:44">
      <c r="A308" s="1">
        <f>HYPERLINK("https://lsnyc.legalserver.org/matter/dynamic-profile/view/1910363","19-1910363")</f>
        <v>0</v>
      </c>
      <c r="B308" t="s">
        <v>70</v>
      </c>
      <c r="C308" t="s">
        <v>233</v>
      </c>
      <c r="D308" t="s">
        <v>242</v>
      </c>
      <c r="E308" t="s">
        <v>589</v>
      </c>
      <c r="F308" t="s">
        <v>1493</v>
      </c>
      <c r="G308" t="s">
        <v>2415</v>
      </c>
      <c r="H308" t="s">
        <v>3161</v>
      </c>
      <c r="I308" t="s">
        <v>3490</v>
      </c>
      <c r="J308">
        <v>11212</v>
      </c>
      <c r="K308" t="s">
        <v>3522</v>
      </c>
      <c r="L308" t="s">
        <v>3525</v>
      </c>
      <c r="M308" t="s">
        <v>3529</v>
      </c>
      <c r="N308" t="s">
        <v>4112</v>
      </c>
      <c r="O308" t="s">
        <v>4135</v>
      </c>
      <c r="P308" t="s">
        <v>4142</v>
      </c>
      <c r="Q308" t="s">
        <v>4147</v>
      </c>
      <c r="R308" t="s">
        <v>3522</v>
      </c>
      <c r="T308" t="s">
        <v>4156</v>
      </c>
      <c r="U308" t="s">
        <v>4168</v>
      </c>
      <c r="V308" t="s">
        <v>210</v>
      </c>
      <c r="W308">
        <v>1253</v>
      </c>
      <c r="X308" t="s">
        <v>4193</v>
      </c>
      <c r="Y308" t="s">
        <v>4201</v>
      </c>
      <c r="Z308" t="s">
        <v>4487</v>
      </c>
      <c r="AA308" t="s">
        <v>5488</v>
      </c>
      <c r="AB308" t="s">
        <v>5874</v>
      </c>
      <c r="AC308">
        <v>4</v>
      </c>
      <c r="AD308" t="s">
        <v>5524</v>
      </c>
      <c r="AE308" t="s">
        <v>6786</v>
      </c>
      <c r="AF308">
        <v>3</v>
      </c>
      <c r="AG308">
        <v>2</v>
      </c>
      <c r="AH308">
        <v>0</v>
      </c>
      <c r="AI308">
        <v>49.67</v>
      </c>
      <c r="AL308" t="s">
        <v>6801</v>
      </c>
      <c r="AM308">
        <v>8400</v>
      </c>
    </row>
    <row r="309" spans="1:44">
      <c r="A309" s="1">
        <f>HYPERLINK("https://lsnyc.legalserver.org/matter/dynamic-profile/view/1908074","19-1908074")</f>
        <v>0</v>
      </c>
      <c r="B309" t="s">
        <v>77</v>
      </c>
      <c r="C309" t="s">
        <v>193</v>
      </c>
      <c r="D309" t="s">
        <v>219</v>
      </c>
      <c r="E309" t="s">
        <v>623</v>
      </c>
      <c r="F309" t="s">
        <v>1494</v>
      </c>
      <c r="G309" t="s">
        <v>2416</v>
      </c>
      <c r="H309" t="s">
        <v>3239</v>
      </c>
      <c r="I309" t="s">
        <v>3493</v>
      </c>
      <c r="J309">
        <v>10452</v>
      </c>
      <c r="K309" t="s">
        <v>3522</v>
      </c>
      <c r="L309" t="s">
        <v>3525</v>
      </c>
      <c r="N309" t="s">
        <v>3554</v>
      </c>
      <c r="O309" t="s">
        <v>4132</v>
      </c>
      <c r="P309" t="s">
        <v>4139</v>
      </c>
      <c r="Q309" t="s">
        <v>4147</v>
      </c>
      <c r="R309" t="s">
        <v>3523</v>
      </c>
      <c r="T309" t="s">
        <v>4156</v>
      </c>
      <c r="V309" t="s">
        <v>341</v>
      </c>
      <c r="W309">
        <v>1750</v>
      </c>
      <c r="X309" t="s">
        <v>4194</v>
      </c>
      <c r="Y309" t="s">
        <v>4201</v>
      </c>
      <c r="Z309" t="s">
        <v>4488</v>
      </c>
      <c r="AB309" t="s">
        <v>5875</v>
      </c>
      <c r="AC309">
        <v>0</v>
      </c>
      <c r="AD309" t="s">
        <v>6772</v>
      </c>
      <c r="AE309" t="s">
        <v>6787</v>
      </c>
      <c r="AF309">
        <v>7</v>
      </c>
      <c r="AG309">
        <v>1</v>
      </c>
      <c r="AH309">
        <v>3</v>
      </c>
      <c r="AI309">
        <v>50.49</v>
      </c>
      <c r="AL309" t="s">
        <v>6801</v>
      </c>
      <c r="AM309">
        <v>13000</v>
      </c>
    </row>
    <row r="310" spans="1:44">
      <c r="A310" s="1">
        <f>HYPERLINK("https://lsnyc.legalserver.org/matter/dynamic-profile/view/1911513","19-1911513")</f>
        <v>0</v>
      </c>
      <c r="B310" t="s">
        <v>123</v>
      </c>
      <c r="C310" t="s">
        <v>215</v>
      </c>
      <c r="E310" t="s">
        <v>624</v>
      </c>
      <c r="F310" t="s">
        <v>1214</v>
      </c>
      <c r="G310" t="s">
        <v>2417</v>
      </c>
      <c r="H310" t="s">
        <v>3240</v>
      </c>
      <c r="I310" t="s">
        <v>3495</v>
      </c>
      <c r="J310">
        <v>10040</v>
      </c>
      <c r="K310" t="s">
        <v>3522</v>
      </c>
      <c r="L310" t="s">
        <v>3525</v>
      </c>
      <c r="N310" t="s">
        <v>4115</v>
      </c>
      <c r="O310" t="s">
        <v>4136</v>
      </c>
      <c r="Q310" t="s">
        <v>4147</v>
      </c>
      <c r="R310" t="s">
        <v>3522</v>
      </c>
      <c r="T310" t="s">
        <v>4156</v>
      </c>
      <c r="V310" t="s">
        <v>215</v>
      </c>
      <c r="W310">
        <v>995.92</v>
      </c>
      <c r="X310" t="s">
        <v>4196</v>
      </c>
      <c r="Y310" t="s">
        <v>4201</v>
      </c>
      <c r="Z310" t="s">
        <v>4489</v>
      </c>
      <c r="AA310" t="s">
        <v>5549</v>
      </c>
      <c r="AB310" t="s">
        <v>5876</v>
      </c>
      <c r="AC310">
        <v>44</v>
      </c>
      <c r="AD310" t="s">
        <v>6772</v>
      </c>
      <c r="AE310" t="s">
        <v>3526</v>
      </c>
      <c r="AF310">
        <v>15</v>
      </c>
      <c r="AG310">
        <v>2</v>
      </c>
      <c r="AH310">
        <v>2</v>
      </c>
      <c r="AI310">
        <v>50.49</v>
      </c>
      <c r="AL310" t="s">
        <v>6802</v>
      </c>
      <c r="AM310">
        <v>13000</v>
      </c>
    </row>
    <row r="311" spans="1:44">
      <c r="A311" s="1">
        <f>HYPERLINK("https://lsnyc.legalserver.org/matter/dynamic-profile/view/1912409","19-1912409")</f>
        <v>0</v>
      </c>
      <c r="B311" t="s">
        <v>123</v>
      </c>
      <c r="C311" t="s">
        <v>295</v>
      </c>
      <c r="E311" t="s">
        <v>624</v>
      </c>
      <c r="F311" t="s">
        <v>1214</v>
      </c>
      <c r="G311" t="s">
        <v>2418</v>
      </c>
      <c r="H311" t="s">
        <v>3240</v>
      </c>
      <c r="I311" t="s">
        <v>3495</v>
      </c>
      <c r="J311">
        <v>10040</v>
      </c>
      <c r="K311" t="s">
        <v>3522</v>
      </c>
      <c r="L311" t="s">
        <v>3525</v>
      </c>
      <c r="N311" t="s">
        <v>4110</v>
      </c>
      <c r="O311" t="s">
        <v>4134</v>
      </c>
      <c r="Q311" t="s">
        <v>4147</v>
      </c>
      <c r="R311" t="s">
        <v>3522</v>
      </c>
      <c r="T311" t="s">
        <v>4156</v>
      </c>
      <c r="V311" t="s">
        <v>295</v>
      </c>
      <c r="W311">
        <v>995.92</v>
      </c>
      <c r="X311" t="s">
        <v>4196</v>
      </c>
      <c r="Y311" t="s">
        <v>4201</v>
      </c>
      <c r="Z311" t="s">
        <v>4489</v>
      </c>
      <c r="AA311" t="s">
        <v>5549</v>
      </c>
      <c r="AB311" t="s">
        <v>5876</v>
      </c>
      <c r="AC311">
        <v>44</v>
      </c>
      <c r="AD311" t="s">
        <v>6772</v>
      </c>
      <c r="AE311" t="s">
        <v>3526</v>
      </c>
      <c r="AF311">
        <v>15</v>
      </c>
      <c r="AG311">
        <v>2</v>
      </c>
      <c r="AH311">
        <v>2</v>
      </c>
      <c r="AI311">
        <v>50.49</v>
      </c>
      <c r="AL311" t="s">
        <v>6802</v>
      </c>
      <c r="AM311">
        <v>13000</v>
      </c>
    </row>
    <row r="312" spans="1:44">
      <c r="A312" s="1">
        <f>HYPERLINK("https://lsnyc.legalserver.org/matter/dynamic-profile/view/1912418","19-1912418")</f>
        <v>0</v>
      </c>
      <c r="B312" t="s">
        <v>123</v>
      </c>
      <c r="C312" t="s">
        <v>295</v>
      </c>
      <c r="D312" t="s">
        <v>258</v>
      </c>
      <c r="E312" t="s">
        <v>624</v>
      </c>
      <c r="F312" t="s">
        <v>1214</v>
      </c>
      <c r="G312" t="s">
        <v>2418</v>
      </c>
      <c r="H312" t="s">
        <v>3240</v>
      </c>
      <c r="I312" t="s">
        <v>3495</v>
      </c>
      <c r="J312">
        <v>10040</v>
      </c>
      <c r="K312" t="s">
        <v>3522</v>
      </c>
      <c r="L312" t="s">
        <v>3525</v>
      </c>
      <c r="M312" t="s">
        <v>3675</v>
      </c>
      <c r="N312" t="s">
        <v>4110</v>
      </c>
      <c r="O312" t="s">
        <v>4137</v>
      </c>
      <c r="P312" t="s">
        <v>4145</v>
      </c>
      <c r="Q312" t="s">
        <v>4147</v>
      </c>
      <c r="R312" t="s">
        <v>3522</v>
      </c>
      <c r="T312" t="s">
        <v>4156</v>
      </c>
      <c r="V312" t="s">
        <v>295</v>
      </c>
      <c r="W312">
        <v>995.92</v>
      </c>
      <c r="X312" t="s">
        <v>4196</v>
      </c>
      <c r="Y312" t="s">
        <v>4201</v>
      </c>
      <c r="Z312" t="s">
        <v>4489</v>
      </c>
      <c r="AA312" t="s">
        <v>5549</v>
      </c>
      <c r="AB312" t="s">
        <v>5876</v>
      </c>
      <c r="AC312">
        <v>44</v>
      </c>
      <c r="AD312" t="s">
        <v>6772</v>
      </c>
      <c r="AE312" t="s">
        <v>3526</v>
      </c>
      <c r="AF312">
        <v>15</v>
      </c>
      <c r="AG312">
        <v>2</v>
      </c>
      <c r="AH312">
        <v>2</v>
      </c>
      <c r="AI312">
        <v>50.49</v>
      </c>
      <c r="AL312" t="s">
        <v>6802</v>
      </c>
      <c r="AM312">
        <v>13000</v>
      </c>
    </row>
    <row r="313" spans="1:44">
      <c r="A313" s="1">
        <f>HYPERLINK("https://lsnyc.legalserver.org/matter/dynamic-profile/view/1907955","19-1907955")</f>
        <v>0</v>
      </c>
      <c r="B313" t="s">
        <v>115</v>
      </c>
      <c r="C313" t="s">
        <v>197</v>
      </c>
      <c r="E313" t="s">
        <v>624</v>
      </c>
      <c r="F313" t="s">
        <v>1214</v>
      </c>
      <c r="G313" t="s">
        <v>2417</v>
      </c>
      <c r="H313" t="s">
        <v>3240</v>
      </c>
      <c r="I313" t="s">
        <v>3495</v>
      </c>
      <c r="J313">
        <v>10040</v>
      </c>
      <c r="K313" t="s">
        <v>3522</v>
      </c>
      <c r="L313" t="s">
        <v>3525</v>
      </c>
      <c r="M313" t="s">
        <v>3676</v>
      </c>
      <c r="N313" t="s">
        <v>4109</v>
      </c>
      <c r="O313" t="s">
        <v>4134</v>
      </c>
      <c r="Q313" t="s">
        <v>4147</v>
      </c>
      <c r="R313" t="s">
        <v>3523</v>
      </c>
      <c r="T313" t="s">
        <v>4156</v>
      </c>
      <c r="U313" t="s">
        <v>4168</v>
      </c>
      <c r="V313" t="s">
        <v>197</v>
      </c>
      <c r="W313">
        <v>995.92</v>
      </c>
      <c r="X313" t="s">
        <v>4196</v>
      </c>
      <c r="Y313" t="s">
        <v>4204</v>
      </c>
      <c r="Z313" t="s">
        <v>4489</v>
      </c>
      <c r="AA313" t="s">
        <v>5549</v>
      </c>
      <c r="AB313" t="s">
        <v>5876</v>
      </c>
      <c r="AC313">
        <v>44</v>
      </c>
      <c r="AD313" t="s">
        <v>6772</v>
      </c>
      <c r="AE313" t="s">
        <v>3526</v>
      </c>
      <c r="AF313">
        <v>15</v>
      </c>
      <c r="AG313">
        <v>2</v>
      </c>
      <c r="AH313">
        <v>2</v>
      </c>
      <c r="AI313">
        <v>50.49</v>
      </c>
      <c r="AL313" t="s">
        <v>6802</v>
      </c>
      <c r="AM313">
        <v>13000</v>
      </c>
    </row>
    <row r="314" spans="1:44">
      <c r="A314" s="1">
        <f>HYPERLINK("https://lsnyc.legalserver.org/matter/dynamic-profile/view/1913939","19-1913939")</f>
        <v>0</v>
      </c>
      <c r="B314" t="s">
        <v>70</v>
      </c>
      <c r="C314" t="s">
        <v>263</v>
      </c>
      <c r="E314" t="s">
        <v>625</v>
      </c>
      <c r="F314" t="s">
        <v>1495</v>
      </c>
      <c r="G314" t="s">
        <v>2419</v>
      </c>
      <c r="I314" t="s">
        <v>3490</v>
      </c>
      <c r="J314">
        <v>11233</v>
      </c>
      <c r="K314" t="s">
        <v>3522</v>
      </c>
      <c r="L314" t="s">
        <v>3525</v>
      </c>
      <c r="M314" t="s">
        <v>3677</v>
      </c>
      <c r="N314" t="s">
        <v>4107</v>
      </c>
      <c r="O314" t="s">
        <v>4135</v>
      </c>
      <c r="Q314" t="s">
        <v>4147</v>
      </c>
      <c r="R314" t="s">
        <v>3523</v>
      </c>
      <c r="T314" t="s">
        <v>4156</v>
      </c>
      <c r="U314" t="s">
        <v>4168</v>
      </c>
      <c r="V314" t="s">
        <v>219</v>
      </c>
      <c r="W314">
        <v>0</v>
      </c>
      <c r="X314" t="s">
        <v>4193</v>
      </c>
      <c r="Y314" t="s">
        <v>4203</v>
      </c>
      <c r="Z314" t="s">
        <v>4490</v>
      </c>
      <c r="AA314" t="s">
        <v>3526</v>
      </c>
      <c r="AB314" t="s">
        <v>5877</v>
      </c>
      <c r="AC314">
        <v>2</v>
      </c>
      <c r="AD314" t="s">
        <v>6771</v>
      </c>
      <c r="AE314" t="s">
        <v>3526</v>
      </c>
      <c r="AF314">
        <v>4</v>
      </c>
      <c r="AG314">
        <v>1</v>
      </c>
      <c r="AH314">
        <v>0</v>
      </c>
      <c r="AI314">
        <v>51.21</v>
      </c>
      <c r="AL314" t="s">
        <v>6801</v>
      </c>
      <c r="AM314">
        <v>6396</v>
      </c>
    </row>
    <row r="315" spans="1:44">
      <c r="A315" s="1">
        <f>HYPERLINK("https://lsnyc.legalserver.org/matter/dynamic-profile/view/1904906","19-1904906")</f>
        <v>0</v>
      </c>
      <c r="B315" t="s">
        <v>75</v>
      </c>
      <c r="C315" t="s">
        <v>272</v>
      </c>
      <c r="E315" t="s">
        <v>626</v>
      </c>
      <c r="F315" t="s">
        <v>1496</v>
      </c>
      <c r="G315" t="s">
        <v>2368</v>
      </c>
      <c r="H315" t="s">
        <v>3241</v>
      </c>
      <c r="I315" t="s">
        <v>3493</v>
      </c>
      <c r="J315">
        <v>10453</v>
      </c>
      <c r="K315" t="s">
        <v>3522</v>
      </c>
      <c r="L315" t="s">
        <v>3525</v>
      </c>
      <c r="M315" t="s">
        <v>3662</v>
      </c>
      <c r="N315" t="s">
        <v>4110</v>
      </c>
      <c r="O315" t="s">
        <v>4137</v>
      </c>
      <c r="Q315" t="s">
        <v>4147</v>
      </c>
      <c r="R315" t="s">
        <v>3522</v>
      </c>
      <c r="T315" t="s">
        <v>4156</v>
      </c>
      <c r="V315" t="s">
        <v>4181</v>
      </c>
      <c r="W315">
        <v>1172</v>
      </c>
      <c r="X315" t="s">
        <v>4194</v>
      </c>
      <c r="Y315" t="s">
        <v>4206</v>
      </c>
      <c r="Z315" t="s">
        <v>4491</v>
      </c>
      <c r="AB315" t="s">
        <v>5878</v>
      </c>
      <c r="AC315">
        <v>170</v>
      </c>
      <c r="AD315" t="s">
        <v>6772</v>
      </c>
      <c r="AE315" t="s">
        <v>6788</v>
      </c>
      <c r="AF315">
        <v>16</v>
      </c>
      <c r="AG315">
        <v>2</v>
      </c>
      <c r="AH315">
        <v>3</v>
      </c>
      <c r="AI315">
        <v>51.26</v>
      </c>
      <c r="AL315" t="s">
        <v>6802</v>
      </c>
      <c r="AM315">
        <v>15080</v>
      </c>
    </row>
    <row r="316" spans="1:44">
      <c r="A316" s="1">
        <f>HYPERLINK("https://lsnyc.legalserver.org/matter/dynamic-profile/view/1912639","19-1912639")</f>
        <v>0</v>
      </c>
      <c r="B316" t="s">
        <v>45</v>
      </c>
      <c r="C316" t="s">
        <v>178</v>
      </c>
      <c r="E316" t="s">
        <v>627</v>
      </c>
      <c r="F316" t="s">
        <v>1497</v>
      </c>
      <c r="G316" t="s">
        <v>2165</v>
      </c>
      <c r="H316" t="s">
        <v>3242</v>
      </c>
      <c r="I316" t="s">
        <v>3479</v>
      </c>
      <c r="J316">
        <v>11691</v>
      </c>
      <c r="K316" t="s">
        <v>3522</v>
      </c>
      <c r="L316" t="s">
        <v>3525</v>
      </c>
      <c r="N316" t="s">
        <v>4108</v>
      </c>
      <c r="O316" t="s">
        <v>4133</v>
      </c>
      <c r="Q316" t="s">
        <v>4147</v>
      </c>
      <c r="R316" t="s">
        <v>3523</v>
      </c>
      <c r="T316" t="s">
        <v>4156</v>
      </c>
      <c r="V316" t="s">
        <v>178</v>
      </c>
      <c r="W316">
        <v>819</v>
      </c>
      <c r="X316" t="s">
        <v>4192</v>
      </c>
      <c r="Y316" t="s">
        <v>4198</v>
      </c>
      <c r="Z316" t="s">
        <v>4492</v>
      </c>
      <c r="AB316" t="s">
        <v>5879</v>
      </c>
      <c r="AC316">
        <v>43</v>
      </c>
      <c r="AD316" t="s">
        <v>6772</v>
      </c>
      <c r="AE316" t="s">
        <v>3526</v>
      </c>
      <c r="AF316">
        <v>15</v>
      </c>
      <c r="AG316">
        <v>2</v>
      </c>
      <c r="AH316">
        <v>3</v>
      </c>
      <c r="AI316">
        <v>51.71</v>
      </c>
      <c r="AL316" t="s">
        <v>6802</v>
      </c>
      <c r="AM316">
        <v>15600</v>
      </c>
    </row>
    <row r="317" spans="1:44">
      <c r="A317" s="1">
        <f>HYPERLINK("https://lsnyc.legalserver.org/matter/dynamic-profile/view/1915927","19-1915927")</f>
        <v>0</v>
      </c>
      <c r="B317" t="s">
        <v>45</v>
      </c>
      <c r="C317" t="s">
        <v>220</v>
      </c>
      <c r="E317" t="s">
        <v>627</v>
      </c>
      <c r="F317" t="s">
        <v>1497</v>
      </c>
      <c r="G317" t="s">
        <v>2165</v>
      </c>
      <c r="H317" t="s">
        <v>3242</v>
      </c>
      <c r="I317" t="s">
        <v>3479</v>
      </c>
      <c r="J317">
        <v>11691</v>
      </c>
      <c r="K317" t="s">
        <v>3522</v>
      </c>
      <c r="L317" t="s">
        <v>3525</v>
      </c>
      <c r="N317" t="s">
        <v>4109</v>
      </c>
      <c r="O317" t="s">
        <v>4133</v>
      </c>
      <c r="Q317" t="s">
        <v>4147</v>
      </c>
      <c r="R317" t="s">
        <v>3523</v>
      </c>
      <c r="T317" t="s">
        <v>4156</v>
      </c>
      <c r="V317" t="s">
        <v>220</v>
      </c>
      <c r="W317">
        <v>819</v>
      </c>
      <c r="X317" t="s">
        <v>4192</v>
      </c>
      <c r="Y317" t="s">
        <v>4198</v>
      </c>
      <c r="Z317" t="s">
        <v>4492</v>
      </c>
      <c r="AB317" t="s">
        <v>5879</v>
      </c>
      <c r="AC317">
        <v>43</v>
      </c>
      <c r="AD317" t="s">
        <v>6772</v>
      </c>
      <c r="AE317" t="s">
        <v>3526</v>
      </c>
      <c r="AF317">
        <v>15</v>
      </c>
      <c r="AG317">
        <v>2</v>
      </c>
      <c r="AH317">
        <v>3</v>
      </c>
      <c r="AI317">
        <v>51.71</v>
      </c>
      <c r="AL317" t="s">
        <v>6802</v>
      </c>
      <c r="AM317">
        <v>15600</v>
      </c>
    </row>
    <row r="318" spans="1:44">
      <c r="A318" s="1">
        <f>HYPERLINK("https://lsnyc.legalserver.org/matter/dynamic-profile/view/1912797","19-1912797")</f>
        <v>0</v>
      </c>
      <c r="B318" t="s">
        <v>128</v>
      </c>
      <c r="C318" t="s">
        <v>253</v>
      </c>
      <c r="E318" t="s">
        <v>628</v>
      </c>
      <c r="F318" t="s">
        <v>1498</v>
      </c>
      <c r="G318" t="s">
        <v>2420</v>
      </c>
      <c r="H318" t="s">
        <v>3187</v>
      </c>
      <c r="I318" t="s">
        <v>3490</v>
      </c>
      <c r="J318">
        <v>11217</v>
      </c>
      <c r="K318" t="s">
        <v>3522</v>
      </c>
      <c r="L318" t="s">
        <v>3525</v>
      </c>
      <c r="M318" t="s">
        <v>3678</v>
      </c>
      <c r="N318" t="s">
        <v>4109</v>
      </c>
      <c r="O318" t="s">
        <v>4136</v>
      </c>
      <c r="Q318" t="s">
        <v>4147</v>
      </c>
      <c r="R318" t="s">
        <v>3523</v>
      </c>
      <c r="T318" t="s">
        <v>4156</v>
      </c>
      <c r="V318" t="s">
        <v>256</v>
      </c>
      <c r="W318">
        <v>580</v>
      </c>
      <c r="X318" t="s">
        <v>4193</v>
      </c>
      <c r="Y318" t="s">
        <v>4203</v>
      </c>
      <c r="Z318" t="s">
        <v>4493</v>
      </c>
      <c r="AB318" t="s">
        <v>5880</v>
      </c>
      <c r="AC318">
        <v>9</v>
      </c>
      <c r="AD318" t="s">
        <v>6783</v>
      </c>
      <c r="AF318">
        <v>15</v>
      </c>
      <c r="AG318">
        <v>2</v>
      </c>
      <c r="AH318">
        <v>0</v>
      </c>
      <c r="AI318">
        <v>51.8</v>
      </c>
      <c r="AL318" t="s">
        <v>6801</v>
      </c>
      <c r="AM318">
        <v>8760</v>
      </c>
    </row>
    <row r="319" spans="1:44">
      <c r="A319" s="1">
        <f>HYPERLINK("https://lsnyc.legalserver.org/matter/dynamic-profile/view/1904815","19-1904815")</f>
        <v>0</v>
      </c>
      <c r="B319" t="s">
        <v>77</v>
      </c>
      <c r="C319" t="s">
        <v>296</v>
      </c>
      <c r="D319" t="s">
        <v>224</v>
      </c>
      <c r="E319" t="s">
        <v>629</v>
      </c>
      <c r="F319" t="s">
        <v>1480</v>
      </c>
      <c r="G319" t="s">
        <v>2421</v>
      </c>
      <c r="H319">
        <v>225</v>
      </c>
      <c r="I319" t="s">
        <v>3493</v>
      </c>
      <c r="J319">
        <v>10457</v>
      </c>
      <c r="K319" t="s">
        <v>3522</v>
      </c>
      <c r="L319" t="s">
        <v>3525</v>
      </c>
      <c r="M319" t="s">
        <v>3562</v>
      </c>
      <c r="N319" t="s">
        <v>3554</v>
      </c>
      <c r="O319" t="s">
        <v>4135</v>
      </c>
      <c r="P319" t="s">
        <v>4139</v>
      </c>
      <c r="Q319" t="s">
        <v>4147</v>
      </c>
      <c r="R319" t="s">
        <v>3523</v>
      </c>
      <c r="T319" t="s">
        <v>4156</v>
      </c>
      <c r="V319" t="s">
        <v>4182</v>
      </c>
      <c r="W319">
        <v>222</v>
      </c>
      <c r="X319" t="s">
        <v>4194</v>
      </c>
      <c r="Z319" t="s">
        <v>4494</v>
      </c>
      <c r="AB319" t="s">
        <v>5881</v>
      </c>
      <c r="AC319">
        <v>75</v>
      </c>
      <c r="AD319" t="s">
        <v>6778</v>
      </c>
      <c r="AE319" t="s">
        <v>6786</v>
      </c>
      <c r="AF319">
        <v>40</v>
      </c>
      <c r="AG319">
        <v>2</v>
      </c>
      <c r="AH319">
        <v>0</v>
      </c>
      <c r="AI319">
        <v>51.8</v>
      </c>
      <c r="AL319" t="s">
        <v>6802</v>
      </c>
      <c r="AM319">
        <v>8760</v>
      </c>
    </row>
    <row r="320" spans="1:44">
      <c r="A320" s="1">
        <f>HYPERLINK("https://lsnyc.legalserver.org/matter/dynamic-profile/view/1908348","19-1908348")</f>
        <v>0</v>
      </c>
      <c r="B320" t="s">
        <v>105</v>
      </c>
      <c r="C320" t="s">
        <v>205</v>
      </c>
      <c r="D320" t="s">
        <v>258</v>
      </c>
      <c r="E320" t="s">
        <v>630</v>
      </c>
      <c r="F320" t="s">
        <v>1499</v>
      </c>
      <c r="G320" t="s">
        <v>2422</v>
      </c>
      <c r="H320" t="s">
        <v>3243</v>
      </c>
      <c r="I320" t="s">
        <v>3494</v>
      </c>
      <c r="J320">
        <v>10301</v>
      </c>
      <c r="K320" t="s">
        <v>3522</v>
      </c>
      <c r="L320" t="s">
        <v>3525</v>
      </c>
      <c r="N320" t="s">
        <v>4107</v>
      </c>
      <c r="O320" t="s">
        <v>4135</v>
      </c>
      <c r="P320" t="s">
        <v>4142</v>
      </c>
      <c r="Q320" t="s">
        <v>4148</v>
      </c>
      <c r="R320" t="s">
        <v>3523</v>
      </c>
      <c r="T320" t="s">
        <v>4156</v>
      </c>
      <c r="U320" t="s">
        <v>4168</v>
      </c>
      <c r="V320" t="s">
        <v>303</v>
      </c>
      <c r="W320">
        <v>1348</v>
      </c>
      <c r="X320" t="s">
        <v>4195</v>
      </c>
      <c r="Y320" t="s">
        <v>4199</v>
      </c>
      <c r="Z320" t="s">
        <v>4495</v>
      </c>
      <c r="AB320" t="s">
        <v>5882</v>
      </c>
      <c r="AC320">
        <v>4</v>
      </c>
      <c r="AE320" t="s">
        <v>6787</v>
      </c>
      <c r="AF320">
        <v>4</v>
      </c>
      <c r="AG320">
        <v>1</v>
      </c>
      <c r="AH320">
        <v>2</v>
      </c>
      <c r="AI320">
        <v>52.21</v>
      </c>
      <c r="AJ320" t="s">
        <v>6795</v>
      </c>
      <c r="AK320" t="s">
        <v>6798</v>
      </c>
      <c r="AL320" t="s">
        <v>6801</v>
      </c>
      <c r="AM320">
        <v>11136</v>
      </c>
      <c r="AN320" t="s">
        <v>6840</v>
      </c>
      <c r="AP320" t="s">
        <v>4200</v>
      </c>
      <c r="AQ320" t="s">
        <v>6945</v>
      </c>
      <c r="AR320" t="s">
        <v>6969</v>
      </c>
    </row>
    <row r="321" spans="1:44">
      <c r="A321" s="1">
        <f>HYPERLINK("https://lsnyc.legalserver.org/matter/dynamic-profile/view/1913372","19-1913372")</f>
        <v>0</v>
      </c>
      <c r="B321" t="s">
        <v>99</v>
      </c>
      <c r="C321" t="s">
        <v>192</v>
      </c>
      <c r="E321" t="s">
        <v>631</v>
      </c>
      <c r="F321" t="s">
        <v>1264</v>
      </c>
      <c r="G321" t="s">
        <v>2373</v>
      </c>
      <c r="H321">
        <v>412</v>
      </c>
      <c r="I321" t="s">
        <v>3495</v>
      </c>
      <c r="J321">
        <v>10029</v>
      </c>
      <c r="K321" t="s">
        <v>3522</v>
      </c>
      <c r="L321" t="s">
        <v>3525</v>
      </c>
      <c r="N321" t="s">
        <v>4108</v>
      </c>
      <c r="O321" t="s">
        <v>4132</v>
      </c>
      <c r="Q321" t="s">
        <v>4147</v>
      </c>
      <c r="R321" t="s">
        <v>3522</v>
      </c>
      <c r="T321" t="s">
        <v>4156</v>
      </c>
      <c r="U321" t="s">
        <v>4168</v>
      </c>
      <c r="V321" t="s">
        <v>359</v>
      </c>
      <c r="W321">
        <v>0</v>
      </c>
      <c r="X321" t="s">
        <v>4196</v>
      </c>
      <c r="Y321" t="s">
        <v>4201</v>
      </c>
      <c r="Z321" t="s">
        <v>4496</v>
      </c>
      <c r="AB321" t="s">
        <v>5883</v>
      </c>
      <c r="AC321">
        <v>108</v>
      </c>
      <c r="AD321" t="s">
        <v>6778</v>
      </c>
      <c r="AE321" t="s">
        <v>6786</v>
      </c>
      <c r="AF321">
        <v>4</v>
      </c>
      <c r="AG321">
        <v>2</v>
      </c>
      <c r="AH321">
        <v>1</v>
      </c>
      <c r="AI321">
        <v>52.26</v>
      </c>
      <c r="AL321" t="s">
        <v>6801</v>
      </c>
      <c r="AM321">
        <v>11148</v>
      </c>
    </row>
    <row r="322" spans="1:44">
      <c r="A322" s="1">
        <f>HYPERLINK("https://lsnyc.legalserver.org/matter/dynamic-profile/view/1912536","19-1912536")</f>
        <v>0</v>
      </c>
      <c r="B322" t="s">
        <v>45</v>
      </c>
      <c r="C322" t="s">
        <v>178</v>
      </c>
      <c r="E322" t="s">
        <v>632</v>
      </c>
      <c r="F322" t="s">
        <v>1369</v>
      </c>
      <c r="G322" t="s">
        <v>2165</v>
      </c>
      <c r="H322" t="s">
        <v>3153</v>
      </c>
      <c r="I322" t="s">
        <v>3479</v>
      </c>
      <c r="J322">
        <v>11691</v>
      </c>
      <c r="K322" t="s">
        <v>3522</v>
      </c>
      <c r="L322" t="s">
        <v>3525</v>
      </c>
      <c r="M322" t="s">
        <v>3679</v>
      </c>
      <c r="N322" t="s">
        <v>4108</v>
      </c>
      <c r="O322" t="s">
        <v>4134</v>
      </c>
      <c r="Q322" t="s">
        <v>4147</v>
      </c>
      <c r="R322" t="s">
        <v>3522</v>
      </c>
      <c r="T322" t="s">
        <v>4156</v>
      </c>
      <c r="U322" t="s">
        <v>4168</v>
      </c>
      <c r="V322" t="s">
        <v>178</v>
      </c>
      <c r="W322">
        <v>819</v>
      </c>
      <c r="X322" t="s">
        <v>4192</v>
      </c>
      <c r="Y322" t="s">
        <v>4198</v>
      </c>
      <c r="Z322" t="s">
        <v>4497</v>
      </c>
      <c r="AB322" t="s">
        <v>5884</v>
      </c>
      <c r="AC322">
        <v>43</v>
      </c>
      <c r="AD322" t="s">
        <v>6772</v>
      </c>
      <c r="AE322" t="s">
        <v>3526</v>
      </c>
      <c r="AF322">
        <v>11</v>
      </c>
      <c r="AG322">
        <v>2</v>
      </c>
      <c r="AH322">
        <v>1</v>
      </c>
      <c r="AI322">
        <v>52.41</v>
      </c>
      <c r="AL322" t="s">
        <v>6801</v>
      </c>
      <c r="AM322">
        <v>11180</v>
      </c>
      <c r="AP322" t="s">
        <v>4200</v>
      </c>
    </row>
    <row r="323" spans="1:44">
      <c r="A323" s="1">
        <f>HYPERLINK("https://lsnyc.legalserver.org/matter/dynamic-profile/view/1912637","19-1912637")</f>
        <v>0</v>
      </c>
      <c r="B323" t="s">
        <v>45</v>
      </c>
      <c r="C323" t="s">
        <v>178</v>
      </c>
      <c r="E323" t="s">
        <v>632</v>
      </c>
      <c r="F323" t="s">
        <v>1369</v>
      </c>
      <c r="G323" t="s">
        <v>2165</v>
      </c>
      <c r="H323" t="s">
        <v>3153</v>
      </c>
      <c r="I323" t="s">
        <v>3479</v>
      </c>
      <c r="J323">
        <v>11691</v>
      </c>
      <c r="K323" t="s">
        <v>3522</v>
      </c>
      <c r="L323" t="s">
        <v>3525</v>
      </c>
      <c r="M323" t="s">
        <v>3680</v>
      </c>
      <c r="N323" t="s">
        <v>4109</v>
      </c>
      <c r="O323" t="s">
        <v>4134</v>
      </c>
      <c r="Q323" t="s">
        <v>4147</v>
      </c>
      <c r="R323" t="s">
        <v>3522</v>
      </c>
      <c r="T323" t="s">
        <v>4156</v>
      </c>
      <c r="U323" t="s">
        <v>4168</v>
      </c>
      <c r="V323" t="s">
        <v>178</v>
      </c>
      <c r="W323">
        <v>819</v>
      </c>
      <c r="X323" t="s">
        <v>4192</v>
      </c>
      <c r="Y323" t="s">
        <v>4198</v>
      </c>
      <c r="Z323" t="s">
        <v>4497</v>
      </c>
      <c r="AB323" t="s">
        <v>5884</v>
      </c>
      <c r="AC323">
        <v>43</v>
      </c>
      <c r="AD323" t="s">
        <v>6772</v>
      </c>
      <c r="AE323" t="s">
        <v>3526</v>
      </c>
      <c r="AF323">
        <v>11</v>
      </c>
      <c r="AG323">
        <v>2</v>
      </c>
      <c r="AH323">
        <v>1</v>
      </c>
      <c r="AI323">
        <v>52.41</v>
      </c>
      <c r="AL323" t="s">
        <v>6801</v>
      </c>
      <c r="AM323">
        <v>11180</v>
      </c>
      <c r="AP323" t="s">
        <v>4200</v>
      </c>
    </row>
    <row r="324" spans="1:44">
      <c r="A324" s="1">
        <f>HYPERLINK("https://lsnyc.legalserver.org/matter/dynamic-profile/view/1915236","19-1915236")</f>
        <v>0</v>
      </c>
      <c r="B324" t="s">
        <v>45</v>
      </c>
      <c r="C324" t="s">
        <v>204</v>
      </c>
      <c r="E324" t="s">
        <v>632</v>
      </c>
      <c r="F324" t="s">
        <v>1369</v>
      </c>
      <c r="G324" t="s">
        <v>2165</v>
      </c>
      <c r="H324" t="s">
        <v>3153</v>
      </c>
      <c r="I324" t="s">
        <v>3479</v>
      </c>
      <c r="J324">
        <v>11691</v>
      </c>
      <c r="K324" t="s">
        <v>3522</v>
      </c>
      <c r="L324" t="s">
        <v>3525</v>
      </c>
      <c r="N324" t="s">
        <v>4109</v>
      </c>
      <c r="O324" t="s">
        <v>4134</v>
      </c>
      <c r="Q324" t="s">
        <v>4147</v>
      </c>
      <c r="R324" t="s">
        <v>3523</v>
      </c>
      <c r="T324" t="s">
        <v>4156</v>
      </c>
      <c r="V324" t="s">
        <v>204</v>
      </c>
      <c r="W324">
        <v>819</v>
      </c>
      <c r="X324" t="s">
        <v>4192</v>
      </c>
      <c r="Y324" t="s">
        <v>4198</v>
      </c>
      <c r="Z324" t="s">
        <v>4497</v>
      </c>
      <c r="AB324" t="s">
        <v>5884</v>
      </c>
      <c r="AC324">
        <v>43</v>
      </c>
      <c r="AD324" t="s">
        <v>6772</v>
      </c>
      <c r="AE324" t="s">
        <v>3526</v>
      </c>
      <c r="AF324">
        <v>11</v>
      </c>
      <c r="AG324">
        <v>2</v>
      </c>
      <c r="AH324">
        <v>1</v>
      </c>
      <c r="AI324">
        <v>52.41</v>
      </c>
      <c r="AL324" t="s">
        <v>6801</v>
      </c>
      <c r="AM324">
        <v>11180</v>
      </c>
    </row>
    <row r="325" spans="1:44">
      <c r="A325" s="1">
        <f>HYPERLINK("https://lsnyc.legalserver.org/matter/dynamic-profile/view/1916386","19-1916386")</f>
        <v>0</v>
      </c>
      <c r="B325" t="s">
        <v>129</v>
      </c>
      <c r="C325" t="s">
        <v>223</v>
      </c>
      <c r="E325" t="s">
        <v>633</v>
      </c>
      <c r="F325" t="s">
        <v>1404</v>
      </c>
      <c r="G325" t="s">
        <v>2423</v>
      </c>
      <c r="H325" t="s">
        <v>3177</v>
      </c>
      <c r="I325" t="s">
        <v>3495</v>
      </c>
      <c r="J325">
        <v>10032</v>
      </c>
      <c r="K325" t="s">
        <v>3522</v>
      </c>
      <c r="L325" t="s">
        <v>3525</v>
      </c>
      <c r="O325" t="s">
        <v>4136</v>
      </c>
      <c r="Q325" t="s">
        <v>4147</v>
      </c>
      <c r="R325" t="s">
        <v>3523</v>
      </c>
      <c r="T325" t="s">
        <v>4156</v>
      </c>
      <c r="V325" t="s">
        <v>223</v>
      </c>
      <c r="W325">
        <v>579.9400000000001</v>
      </c>
      <c r="X325" t="s">
        <v>4196</v>
      </c>
      <c r="Y325" t="s">
        <v>4201</v>
      </c>
      <c r="Z325" t="s">
        <v>4498</v>
      </c>
      <c r="AA325" t="s">
        <v>5550</v>
      </c>
      <c r="AB325" t="s">
        <v>5885</v>
      </c>
      <c r="AC325">
        <v>62</v>
      </c>
      <c r="AD325" t="s">
        <v>6772</v>
      </c>
      <c r="AE325" t="s">
        <v>6791</v>
      </c>
      <c r="AF325">
        <v>49</v>
      </c>
      <c r="AG325">
        <v>3</v>
      </c>
      <c r="AH325">
        <v>0</v>
      </c>
      <c r="AI325">
        <v>52.51</v>
      </c>
      <c r="AL325" t="s">
        <v>6810</v>
      </c>
      <c r="AM325">
        <v>11200</v>
      </c>
    </row>
    <row r="326" spans="1:44">
      <c r="A326" s="1">
        <f>HYPERLINK("https://lsnyc.legalserver.org/matter/dynamic-profile/view/1907544","19-1907544")</f>
        <v>0</v>
      </c>
      <c r="B326" t="s">
        <v>105</v>
      </c>
      <c r="C326" t="s">
        <v>205</v>
      </c>
      <c r="E326" t="s">
        <v>634</v>
      </c>
      <c r="F326" t="s">
        <v>1500</v>
      </c>
      <c r="G326" t="s">
        <v>2424</v>
      </c>
      <c r="H326" t="s">
        <v>3204</v>
      </c>
      <c r="I326" t="s">
        <v>3494</v>
      </c>
      <c r="J326">
        <v>10312</v>
      </c>
      <c r="K326" t="s">
        <v>3522</v>
      </c>
      <c r="L326" t="s">
        <v>3525</v>
      </c>
      <c r="M326" t="s">
        <v>3681</v>
      </c>
      <c r="N326" t="s">
        <v>4107</v>
      </c>
      <c r="O326" t="s">
        <v>4134</v>
      </c>
      <c r="Q326" t="s">
        <v>4147</v>
      </c>
      <c r="R326" t="s">
        <v>3523</v>
      </c>
      <c r="T326" t="s">
        <v>4156</v>
      </c>
      <c r="U326" t="s">
        <v>4168</v>
      </c>
      <c r="V326" t="s">
        <v>205</v>
      </c>
      <c r="W326">
        <v>1534</v>
      </c>
      <c r="X326" t="s">
        <v>4195</v>
      </c>
      <c r="Y326" t="s">
        <v>4203</v>
      </c>
      <c r="Z326" t="s">
        <v>4499</v>
      </c>
      <c r="AB326" t="s">
        <v>5886</v>
      </c>
      <c r="AC326">
        <v>2</v>
      </c>
      <c r="AD326" t="s">
        <v>6771</v>
      </c>
      <c r="AE326" t="s">
        <v>6787</v>
      </c>
      <c r="AF326">
        <v>1</v>
      </c>
      <c r="AG326">
        <v>1</v>
      </c>
      <c r="AH326">
        <v>2</v>
      </c>
      <c r="AI326">
        <v>52.55</v>
      </c>
      <c r="AL326" t="s">
        <v>6809</v>
      </c>
      <c r="AM326">
        <v>11208</v>
      </c>
    </row>
    <row r="327" spans="1:44">
      <c r="A327" s="1">
        <f>HYPERLINK("https://lsnyc.legalserver.org/matter/dynamic-profile/view/1896798","19-1896798")</f>
        <v>0</v>
      </c>
      <c r="B327" t="s">
        <v>97</v>
      </c>
      <c r="C327" t="s">
        <v>294</v>
      </c>
      <c r="E327" t="s">
        <v>635</v>
      </c>
      <c r="F327" t="s">
        <v>1501</v>
      </c>
      <c r="G327" t="s">
        <v>2414</v>
      </c>
      <c r="H327" t="s">
        <v>3130</v>
      </c>
      <c r="I327" t="s">
        <v>3490</v>
      </c>
      <c r="J327">
        <v>11213</v>
      </c>
      <c r="K327" t="s">
        <v>3522</v>
      </c>
      <c r="L327" t="s">
        <v>3525</v>
      </c>
      <c r="M327" t="s">
        <v>3609</v>
      </c>
      <c r="N327" t="s">
        <v>4110</v>
      </c>
      <c r="O327" t="s">
        <v>4132</v>
      </c>
      <c r="Q327" t="s">
        <v>4147</v>
      </c>
      <c r="R327" t="s">
        <v>3522</v>
      </c>
      <c r="T327" t="s">
        <v>4156</v>
      </c>
      <c r="V327" t="s">
        <v>259</v>
      </c>
      <c r="W327">
        <v>855.86</v>
      </c>
      <c r="X327" t="s">
        <v>4193</v>
      </c>
      <c r="Y327" t="s">
        <v>4206</v>
      </c>
      <c r="Z327" t="s">
        <v>4500</v>
      </c>
      <c r="AA327" t="s">
        <v>3526</v>
      </c>
      <c r="AC327">
        <v>6</v>
      </c>
      <c r="AD327" t="s">
        <v>6772</v>
      </c>
      <c r="AE327" t="s">
        <v>3526</v>
      </c>
      <c r="AF327">
        <v>26</v>
      </c>
      <c r="AG327">
        <v>1</v>
      </c>
      <c r="AH327">
        <v>1</v>
      </c>
      <c r="AI327">
        <v>52.58</v>
      </c>
      <c r="AL327" t="s">
        <v>6801</v>
      </c>
      <c r="AM327">
        <v>8892</v>
      </c>
      <c r="AN327" t="s">
        <v>6841</v>
      </c>
    </row>
    <row r="328" spans="1:44">
      <c r="A328" s="1">
        <f>HYPERLINK("https://lsnyc.legalserver.org/matter/dynamic-profile/view/1904129","19-1904129")</f>
        <v>0</v>
      </c>
      <c r="B328" t="s">
        <v>82</v>
      </c>
      <c r="C328" t="s">
        <v>209</v>
      </c>
      <c r="D328" t="s">
        <v>209</v>
      </c>
      <c r="E328" t="s">
        <v>636</v>
      </c>
      <c r="F328" t="s">
        <v>926</v>
      </c>
      <c r="G328" t="s">
        <v>2425</v>
      </c>
      <c r="H328">
        <v>614</v>
      </c>
      <c r="I328" t="s">
        <v>3493</v>
      </c>
      <c r="J328">
        <v>10457</v>
      </c>
      <c r="K328" t="s">
        <v>3522</v>
      </c>
      <c r="L328" t="s">
        <v>3525</v>
      </c>
      <c r="M328" t="s">
        <v>3682</v>
      </c>
      <c r="N328" t="s">
        <v>4109</v>
      </c>
      <c r="O328" t="s">
        <v>4135</v>
      </c>
      <c r="P328" t="s">
        <v>4142</v>
      </c>
      <c r="Q328" t="s">
        <v>4147</v>
      </c>
      <c r="R328" t="s">
        <v>3523</v>
      </c>
      <c r="T328" t="s">
        <v>4156</v>
      </c>
      <c r="U328" t="s">
        <v>4168</v>
      </c>
      <c r="V328" t="s">
        <v>336</v>
      </c>
      <c r="W328">
        <v>1268</v>
      </c>
      <c r="X328" t="s">
        <v>4194</v>
      </c>
      <c r="Y328" t="s">
        <v>4201</v>
      </c>
      <c r="Z328" t="s">
        <v>4501</v>
      </c>
      <c r="AA328" t="s">
        <v>5551</v>
      </c>
      <c r="AB328" t="s">
        <v>5887</v>
      </c>
      <c r="AC328">
        <v>99</v>
      </c>
      <c r="AD328" t="s">
        <v>6779</v>
      </c>
      <c r="AE328" t="s">
        <v>6788</v>
      </c>
      <c r="AF328">
        <v>1</v>
      </c>
      <c r="AG328">
        <v>1</v>
      </c>
      <c r="AH328">
        <v>1</v>
      </c>
      <c r="AI328">
        <v>52.66</v>
      </c>
      <c r="AL328" t="s">
        <v>6801</v>
      </c>
      <c r="AM328">
        <v>8904</v>
      </c>
    </row>
    <row r="329" spans="1:44">
      <c r="A329" s="1">
        <f>HYPERLINK("https://lsnyc.legalserver.org/matter/dynamic-profile/view/1910768","19-1910768")</f>
        <v>0</v>
      </c>
      <c r="B329" t="s">
        <v>130</v>
      </c>
      <c r="C329" t="s">
        <v>257</v>
      </c>
      <c r="E329" t="s">
        <v>423</v>
      </c>
      <c r="F329" t="s">
        <v>1327</v>
      </c>
      <c r="G329" t="s">
        <v>2426</v>
      </c>
      <c r="H329" t="s">
        <v>3244</v>
      </c>
      <c r="I329" t="s">
        <v>3493</v>
      </c>
      <c r="J329">
        <v>10462</v>
      </c>
      <c r="K329" t="s">
        <v>3522</v>
      </c>
      <c r="L329" t="s">
        <v>3527</v>
      </c>
      <c r="M329" t="s">
        <v>3683</v>
      </c>
      <c r="N329" t="s">
        <v>4111</v>
      </c>
      <c r="O329" t="s">
        <v>4133</v>
      </c>
      <c r="Q329" t="s">
        <v>4147</v>
      </c>
      <c r="R329" t="s">
        <v>3523</v>
      </c>
      <c r="S329" t="s">
        <v>4147</v>
      </c>
      <c r="T329" t="s">
        <v>4159</v>
      </c>
      <c r="U329" t="s">
        <v>4168</v>
      </c>
      <c r="V329" t="s">
        <v>198</v>
      </c>
      <c r="W329">
        <v>0</v>
      </c>
      <c r="X329" t="s">
        <v>4194</v>
      </c>
      <c r="Y329" t="s">
        <v>4204</v>
      </c>
      <c r="Z329" t="s">
        <v>4502</v>
      </c>
      <c r="AA329" t="s">
        <v>5552</v>
      </c>
      <c r="AB329" t="s">
        <v>5888</v>
      </c>
      <c r="AC329">
        <v>0</v>
      </c>
      <c r="AD329" t="s">
        <v>6776</v>
      </c>
      <c r="AE329" t="s">
        <v>6786</v>
      </c>
      <c r="AF329">
        <v>0</v>
      </c>
      <c r="AG329">
        <v>1</v>
      </c>
      <c r="AH329">
        <v>1</v>
      </c>
      <c r="AI329">
        <v>53.15</v>
      </c>
      <c r="AL329" t="s">
        <v>6801</v>
      </c>
      <c r="AM329">
        <v>8988</v>
      </c>
    </row>
    <row r="330" spans="1:44">
      <c r="A330" s="1">
        <f>HYPERLINK("https://lsnyc.legalserver.org/matter/dynamic-profile/view/1907662","19-1907662")</f>
        <v>0</v>
      </c>
      <c r="B330" t="s">
        <v>53</v>
      </c>
      <c r="C330" t="s">
        <v>284</v>
      </c>
      <c r="E330" t="s">
        <v>637</v>
      </c>
      <c r="F330" t="s">
        <v>1502</v>
      </c>
      <c r="G330" t="s">
        <v>2188</v>
      </c>
      <c r="H330" t="s">
        <v>3245</v>
      </c>
      <c r="I330" t="s">
        <v>3490</v>
      </c>
      <c r="J330">
        <v>11238</v>
      </c>
      <c r="K330" t="s">
        <v>3522</v>
      </c>
      <c r="L330" t="s">
        <v>3525</v>
      </c>
      <c r="N330" t="s">
        <v>4112</v>
      </c>
      <c r="O330" t="s">
        <v>4133</v>
      </c>
      <c r="Q330" t="s">
        <v>4147</v>
      </c>
      <c r="R330" t="s">
        <v>3523</v>
      </c>
      <c r="T330" t="s">
        <v>4156</v>
      </c>
      <c r="V330" t="s">
        <v>284</v>
      </c>
      <c r="W330">
        <v>0</v>
      </c>
      <c r="X330" t="s">
        <v>4193</v>
      </c>
      <c r="Z330" t="s">
        <v>4503</v>
      </c>
      <c r="AB330" t="s">
        <v>5889</v>
      </c>
      <c r="AC330">
        <v>29</v>
      </c>
      <c r="AD330" t="s">
        <v>6772</v>
      </c>
      <c r="AF330">
        <v>0</v>
      </c>
      <c r="AG330">
        <v>2</v>
      </c>
      <c r="AH330">
        <v>0</v>
      </c>
      <c r="AI330">
        <v>53.22</v>
      </c>
      <c r="AL330" t="s">
        <v>6801</v>
      </c>
      <c r="AM330">
        <v>9000</v>
      </c>
    </row>
    <row r="331" spans="1:44">
      <c r="A331" s="1">
        <f>HYPERLINK("https://lsnyc.legalserver.org/matter/dynamic-profile/view/1913477","19-1913477")</f>
        <v>0</v>
      </c>
      <c r="B331" t="s">
        <v>95</v>
      </c>
      <c r="C331" t="s">
        <v>237</v>
      </c>
      <c r="D331" t="s">
        <v>260</v>
      </c>
      <c r="E331" t="s">
        <v>559</v>
      </c>
      <c r="F331" t="s">
        <v>1503</v>
      </c>
      <c r="G331" t="s">
        <v>2427</v>
      </c>
      <c r="H331">
        <v>11</v>
      </c>
      <c r="I331" t="s">
        <v>3495</v>
      </c>
      <c r="J331">
        <v>10029</v>
      </c>
      <c r="K331" t="s">
        <v>3522</v>
      </c>
      <c r="L331" t="s">
        <v>3525</v>
      </c>
      <c r="N331" t="s">
        <v>4113</v>
      </c>
      <c r="O331" t="s">
        <v>4132</v>
      </c>
      <c r="P331" t="s">
        <v>4139</v>
      </c>
      <c r="Q331" t="s">
        <v>4148</v>
      </c>
      <c r="R331" t="s">
        <v>3523</v>
      </c>
      <c r="T331" t="s">
        <v>4156</v>
      </c>
      <c r="V331" t="s">
        <v>301</v>
      </c>
      <c r="W331">
        <v>1008</v>
      </c>
      <c r="X331" t="s">
        <v>4196</v>
      </c>
      <c r="Y331" t="s">
        <v>4199</v>
      </c>
      <c r="Z331" t="s">
        <v>4504</v>
      </c>
      <c r="AC331">
        <v>36</v>
      </c>
      <c r="AD331" t="s">
        <v>6772</v>
      </c>
      <c r="AE331" t="s">
        <v>3526</v>
      </c>
      <c r="AF331">
        <v>1</v>
      </c>
      <c r="AG331">
        <v>1</v>
      </c>
      <c r="AH331">
        <v>1</v>
      </c>
      <c r="AI331">
        <v>53.22</v>
      </c>
      <c r="AJ331" t="s">
        <v>6795</v>
      </c>
      <c r="AK331" t="s">
        <v>6798</v>
      </c>
      <c r="AL331" t="s">
        <v>6802</v>
      </c>
      <c r="AM331">
        <v>9000</v>
      </c>
      <c r="AQ331" t="s">
        <v>6945</v>
      </c>
      <c r="AR331" t="s">
        <v>6970</v>
      </c>
    </row>
    <row r="332" spans="1:44">
      <c r="A332" s="1">
        <f>HYPERLINK("https://lsnyc.legalserver.org/matter/dynamic-profile/view/1915404","19-1915404")</f>
        <v>0</v>
      </c>
      <c r="B332" t="s">
        <v>82</v>
      </c>
      <c r="C332" t="s">
        <v>260</v>
      </c>
      <c r="E332" t="s">
        <v>404</v>
      </c>
      <c r="F332" t="s">
        <v>1475</v>
      </c>
      <c r="G332" t="s">
        <v>2428</v>
      </c>
      <c r="H332" t="s">
        <v>3148</v>
      </c>
      <c r="I332" t="s">
        <v>3493</v>
      </c>
      <c r="J332">
        <v>10453</v>
      </c>
      <c r="K332" t="s">
        <v>3522</v>
      </c>
      <c r="L332" t="s">
        <v>3527</v>
      </c>
      <c r="M332" t="s">
        <v>3684</v>
      </c>
      <c r="N332" t="s">
        <v>4109</v>
      </c>
      <c r="O332" t="s">
        <v>4134</v>
      </c>
      <c r="Q332" t="s">
        <v>4147</v>
      </c>
      <c r="R332" t="s">
        <v>3523</v>
      </c>
      <c r="T332" t="s">
        <v>4156</v>
      </c>
      <c r="U332" t="s">
        <v>4167</v>
      </c>
      <c r="V332" t="s">
        <v>260</v>
      </c>
      <c r="W332">
        <v>1268</v>
      </c>
      <c r="X332" t="s">
        <v>4194</v>
      </c>
      <c r="Y332" t="s">
        <v>4197</v>
      </c>
      <c r="Z332" t="s">
        <v>4505</v>
      </c>
      <c r="AA332" t="s">
        <v>5553</v>
      </c>
      <c r="AC332">
        <v>70</v>
      </c>
      <c r="AD332" t="s">
        <v>6772</v>
      </c>
      <c r="AE332" t="s">
        <v>6793</v>
      </c>
      <c r="AF332">
        <v>3</v>
      </c>
      <c r="AG332">
        <v>2</v>
      </c>
      <c r="AH332">
        <v>0</v>
      </c>
      <c r="AI332">
        <v>53.44</v>
      </c>
      <c r="AL332" t="s">
        <v>6801</v>
      </c>
      <c r="AM332">
        <v>9036</v>
      </c>
    </row>
    <row r="333" spans="1:44">
      <c r="A333" s="1">
        <f>HYPERLINK("https://lsnyc.legalserver.org/matter/dynamic-profile/view/1916615","19-1916615")</f>
        <v>0</v>
      </c>
      <c r="B333" t="s">
        <v>90</v>
      </c>
      <c r="C333" t="s">
        <v>213</v>
      </c>
      <c r="D333" t="s">
        <v>332</v>
      </c>
      <c r="E333" t="s">
        <v>426</v>
      </c>
      <c r="F333" t="s">
        <v>1504</v>
      </c>
      <c r="G333" t="s">
        <v>2429</v>
      </c>
      <c r="I333" t="s">
        <v>3495</v>
      </c>
      <c r="J333">
        <v>10033</v>
      </c>
      <c r="K333" t="s">
        <v>3522</v>
      </c>
      <c r="L333" t="s">
        <v>3525</v>
      </c>
      <c r="O333" t="s">
        <v>4132</v>
      </c>
      <c r="P333" t="s">
        <v>4139</v>
      </c>
      <c r="Q333" t="s">
        <v>4147</v>
      </c>
      <c r="R333" t="s">
        <v>3523</v>
      </c>
      <c r="T333" t="s">
        <v>4156</v>
      </c>
      <c r="V333" t="s">
        <v>213</v>
      </c>
      <c r="W333">
        <v>735</v>
      </c>
      <c r="X333" t="s">
        <v>4196</v>
      </c>
      <c r="Y333" t="s">
        <v>4205</v>
      </c>
      <c r="Z333" t="s">
        <v>4506</v>
      </c>
      <c r="AB333" t="s">
        <v>5890</v>
      </c>
      <c r="AC333">
        <v>22</v>
      </c>
      <c r="AD333" t="s">
        <v>6772</v>
      </c>
      <c r="AE333" t="s">
        <v>3526</v>
      </c>
      <c r="AF333">
        <v>27</v>
      </c>
      <c r="AG333">
        <v>1</v>
      </c>
      <c r="AH333">
        <v>1</v>
      </c>
      <c r="AI333">
        <v>53.58</v>
      </c>
      <c r="AL333" t="s">
        <v>6801</v>
      </c>
      <c r="AM333">
        <v>9060</v>
      </c>
    </row>
    <row r="334" spans="1:44">
      <c r="A334" s="1">
        <f>HYPERLINK("https://lsnyc.legalserver.org/matter/dynamic-profile/view/1905343","19-1905343")</f>
        <v>0</v>
      </c>
      <c r="B334" t="s">
        <v>57</v>
      </c>
      <c r="C334" t="s">
        <v>264</v>
      </c>
      <c r="D334" t="s">
        <v>197</v>
      </c>
      <c r="E334" t="s">
        <v>638</v>
      </c>
      <c r="F334" t="s">
        <v>1505</v>
      </c>
      <c r="G334" t="s">
        <v>2430</v>
      </c>
      <c r="H334" t="s">
        <v>3221</v>
      </c>
      <c r="I334" t="s">
        <v>3490</v>
      </c>
      <c r="J334">
        <v>11233</v>
      </c>
      <c r="K334" t="s">
        <v>3522</v>
      </c>
      <c r="L334" t="s">
        <v>3525</v>
      </c>
      <c r="M334" t="s">
        <v>3526</v>
      </c>
      <c r="N334" t="s">
        <v>4124</v>
      </c>
      <c r="O334" t="s">
        <v>4137</v>
      </c>
      <c r="P334" t="s">
        <v>4145</v>
      </c>
      <c r="Q334" t="s">
        <v>4147</v>
      </c>
      <c r="R334" t="s">
        <v>3523</v>
      </c>
      <c r="T334" t="s">
        <v>4158</v>
      </c>
      <c r="U334" t="s">
        <v>4168</v>
      </c>
      <c r="V334" t="s">
        <v>264</v>
      </c>
      <c r="W334">
        <v>1322</v>
      </c>
      <c r="X334" t="s">
        <v>4193</v>
      </c>
      <c r="Y334" t="s">
        <v>4212</v>
      </c>
      <c r="Z334" t="s">
        <v>4507</v>
      </c>
      <c r="AA334" t="s">
        <v>5554</v>
      </c>
      <c r="AB334" t="s">
        <v>5891</v>
      </c>
      <c r="AC334">
        <v>48</v>
      </c>
      <c r="AD334" t="s">
        <v>6772</v>
      </c>
      <c r="AE334" t="s">
        <v>6788</v>
      </c>
      <c r="AF334">
        <v>3</v>
      </c>
      <c r="AG334">
        <v>1</v>
      </c>
      <c r="AH334">
        <v>0</v>
      </c>
      <c r="AI334">
        <v>53.77</v>
      </c>
      <c r="AL334" t="s">
        <v>6801</v>
      </c>
      <c r="AM334">
        <v>6715.8</v>
      </c>
    </row>
    <row r="335" spans="1:44">
      <c r="A335" s="1">
        <f>HYPERLINK("https://lsnyc.legalserver.org/matter/dynamic-profile/view/1909049","19-1909049")</f>
        <v>0</v>
      </c>
      <c r="B335" t="s">
        <v>89</v>
      </c>
      <c r="C335" t="s">
        <v>275</v>
      </c>
      <c r="E335" t="s">
        <v>639</v>
      </c>
      <c r="F335" t="s">
        <v>1506</v>
      </c>
      <c r="G335" t="s">
        <v>2431</v>
      </c>
      <c r="H335">
        <v>34</v>
      </c>
      <c r="I335" t="s">
        <v>3495</v>
      </c>
      <c r="J335">
        <v>10033</v>
      </c>
      <c r="K335" t="s">
        <v>3522</v>
      </c>
      <c r="L335" t="s">
        <v>3525</v>
      </c>
      <c r="N335" t="s">
        <v>4108</v>
      </c>
      <c r="O335" t="s">
        <v>4134</v>
      </c>
      <c r="Q335" t="s">
        <v>4147</v>
      </c>
      <c r="R335" t="s">
        <v>3522</v>
      </c>
      <c r="T335" t="s">
        <v>4156</v>
      </c>
      <c r="V335" t="s">
        <v>275</v>
      </c>
      <c r="W335">
        <v>1633.95</v>
      </c>
      <c r="X335" t="s">
        <v>4196</v>
      </c>
      <c r="Y335" t="s">
        <v>4205</v>
      </c>
      <c r="Z335" t="s">
        <v>4508</v>
      </c>
      <c r="AB335" t="s">
        <v>5892</v>
      </c>
      <c r="AC335">
        <v>20</v>
      </c>
      <c r="AD335" t="s">
        <v>6772</v>
      </c>
      <c r="AE335" t="s">
        <v>6791</v>
      </c>
      <c r="AF335">
        <v>17</v>
      </c>
      <c r="AG335">
        <v>4</v>
      </c>
      <c r="AH335">
        <v>1</v>
      </c>
      <c r="AI335">
        <v>53.85</v>
      </c>
      <c r="AL335" t="s">
        <v>6802</v>
      </c>
      <c r="AM335">
        <v>16248</v>
      </c>
    </row>
    <row r="336" spans="1:44">
      <c r="A336" s="1">
        <f>HYPERLINK("https://lsnyc.legalserver.org/matter/dynamic-profile/view/1914002","19-1914002")</f>
        <v>0</v>
      </c>
      <c r="B336" t="s">
        <v>123</v>
      </c>
      <c r="C336" t="s">
        <v>263</v>
      </c>
      <c r="D336" t="s">
        <v>260</v>
      </c>
      <c r="E336" t="s">
        <v>495</v>
      </c>
      <c r="F336" t="s">
        <v>1507</v>
      </c>
      <c r="G336" t="s">
        <v>2432</v>
      </c>
      <c r="H336">
        <v>31</v>
      </c>
      <c r="I336" t="s">
        <v>3495</v>
      </c>
      <c r="J336">
        <v>10034</v>
      </c>
      <c r="K336" t="s">
        <v>3522</v>
      </c>
      <c r="L336" t="s">
        <v>3525</v>
      </c>
      <c r="N336" t="s">
        <v>3554</v>
      </c>
      <c r="O336" t="s">
        <v>4132</v>
      </c>
      <c r="P336" t="s">
        <v>4139</v>
      </c>
      <c r="Q336" t="s">
        <v>4147</v>
      </c>
      <c r="R336" t="s">
        <v>3523</v>
      </c>
      <c r="T336" t="s">
        <v>4156</v>
      </c>
      <c r="V336" t="s">
        <v>263</v>
      </c>
      <c r="W336">
        <v>1100</v>
      </c>
      <c r="X336" t="s">
        <v>4196</v>
      </c>
      <c r="Y336" t="s">
        <v>4201</v>
      </c>
      <c r="Z336" t="s">
        <v>4509</v>
      </c>
      <c r="AB336" t="s">
        <v>5893</v>
      </c>
      <c r="AC336">
        <v>20</v>
      </c>
      <c r="AD336" t="s">
        <v>6772</v>
      </c>
      <c r="AE336" t="s">
        <v>3526</v>
      </c>
      <c r="AF336">
        <v>20</v>
      </c>
      <c r="AG336">
        <v>1</v>
      </c>
      <c r="AH336">
        <v>0</v>
      </c>
      <c r="AI336">
        <v>54</v>
      </c>
      <c r="AL336" t="s">
        <v>6802</v>
      </c>
      <c r="AM336">
        <v>6744</v>
      </c>
    </row>
    <row r="337" spans="1:44">
      <c r="A337" s="1">
        <f>HYPERLINK("https://lsnyc.legalserver.org/matter/dynamic-profile/view/1909026","19-1909026")</f>
        <v>0</v>
      </c>
      <c r="B337" t="s">
        <v>131</v>
      </c>
      <c r="C337" t="s">
        <v>275</v>
      </c>
      <c r="E337" t="s">
        <v>640</v>
      </c>
      <c r="F337" t="s">
        <v>1508</v>
      </c>
      <c r="G337" t="s">
        <v>2433</v>
      </c>
      <c r="H337" t="s">
        <v>3246</v>
      </c>
      <c r="I337" t="s">
        <v>3493</v>
      </c>
      <c r="J337">
        <v>10467</v>
      </c>
      <c r="K337" t="s">
        <v>3522</v>
      </c>
      <c r="L337" t="s">
        <v>3525</v>
      </c>
      <c r="N337" t="s">
        <v>4116</v>
      </c>
      <c r="O337" t="s">
        <v>4133</v>
      </c>
      <c r="Q337" t="s">
        <v>4147</v>
      </c>
      <c r="R337" t="s">
        <v>3523</v>
      </c>
      <c r="T337" t="s">
        <v>4159</v>
      </c>
      <c r="V337" t="s">
        <v>341</v>
      </c>
      <c r="W337">
        <v>1333.64</v>
      </c>
      <c r="X337" t="s">
        <v>4194</v>
      </c>
      <c r="Y337" t="s">
        <v>4201</v>
      </c>
      <c r="Z337" t="s">
        <v>4510</v>
      </c>
      <c r="AB337" t="s">
        <v>5894</v>
      </c>
      <c r="AC337">
        <v>48</v>
      </c>
      <c r="AD337" t="s">
        <v>6772</v>
      </c>
      <c r="AE337" t="s">
        <v>3526</v>
      </c>
      <c r="AF337">
        <v>0</v>
      </c>
      <c r="AG337">
        <v>4</v>
      </c>
      <c r="AH337">
        <v>0</v>
      </c>
      <c r="AI337">
        <v>54.34</v>
      </c>
      <c r="AL337" t="s">
        <v>6801</v>
      </c>
      <c r="AM337">
        <v>13992</v>
      </c>
    </row>
    <row r="338" spans="1:44">
      <c r="A338" s="1">
        <f>HYPERLINK("https://lsnyc.legalserver.org/matter/dynamic-profile/view/1909290","19-1909290")</f>
        <v>0</v>
      </c>
      <c r="B338" t="s">
        <v>75</v>
      </c>
      <c r="C338" t="s">
        <v>197</v>
      </c>
      <c r="D338" t="s">
        <v>247</v>
      </c>
      <c r="E338" t="s">
        <v>641</v>
      </c>
      <c r="F338" t="s">
        <v>1509</v>
      </c>
      <c r="G338" t="s">
        <v>2434</v>
      </c>
      <c r="H338" t="s">
        <v>3247</v>
      </c>
      <c r="I338" t="s">
        <v>3493</v>
      </c>
      <c r="J338">
        <v>10457</v>
      </c>
      <c r="K338" t="s">
        <v>3522</v>
      </c>
      <c r="L338" t="s">
        <v>3525</v>
      </c>
      <c r="M338" t="s">
        <v>3685</v>
      </c>
      <c r="N338" t="s">
        <v>4107</v>
      </c>
      <c r="O338" t="s">
        <v>4132</v>
      </c>
      <c r="P338" t="s">
        <v>4139</v>
      </c>
      <c r="Q338" t="s">
        <v>4147</v>
      </c>
      <c r="R338" t="s">
        <v>3523</v>
      </c>
      <c r="T338" t="s">
        <v>4156</v>
      </c>
      <c r="V338" t="s">
        <v>236</v>
      </c>
      <c r="W338">
        <v>461</v>
      </c>
      <c r="X338" t="s">
        <v>4194</v>
      </c>
      <c r="Y338" t="s">
        <v>4206</v>
      </c>
      <c r="Z338" t="s">
        <v>4511</v>
      </c>
      <c r="AB338" t="s">
        <v>5895</v>
      </c>
      <c r="AC338">
        <v>239</v>
      </c>
      <c r="AE338" t="s">
        <v>3526</v>
      </c>
      <c r="AF338">
        <v>16</v>
      </c>
      <c r="AG338">
        <v>1</v>
      </c>
      <c r="AH338">
        <v>1</v>
      </c>
      <c r="AI338">
        <v>54.86</v>
      </c>
      <c r="AL338" t="s">
        <v>6801</v>
      </c>
      <c r="AM338">
        <v>9276</v>
      </c>
    </row>
    <row r="339" spans="1:44">
      <c r="A339" s="1">
        <f>HYPERLINK("https://lsnyc.legalserver.org/matter/dynamic-profile/view/1916450","19-1916450")</f>
        <v>0</v>
      </c>
      <c r="B339" t="s">
        <v>85</v>
      </c>
      <c r="C339" t="s">
        <v>297</v>
      </c>
      <c r="E339" t="s">
        <v>642</v>
      </c>
      <c r="F339" t="s">
        <v>1510</v>
      </c>
      <c r="G339" t="s">
        <v>2312</v>
      </c>
      <c r="H339" t="s">
        <v>3246</v>
      </c>
      <c r="I339" t="s">
        <v>3494</v>
      </c>
      <c r="J339">
        <v>10304</v>
      </c>
      <c r="K339" t="s">
        <v>3522</v>
      </c>
      <c r="L339" t="s">
        <v>3525</v>
      </c>
      <c r="N339" t="s">
        <v>4108</v>
      </c>
      <c r="O339" t="s">
        <v>4134</v>
      </c>
      <c r="Q339" t="s">
        <v>4147</v>
      </c>
      <c r="R339" t="s">
        <v>3522</v>
      </c>
      <c r="T339" t="s">
        <v>4156</v>
      </c>
      <c r="V339" t="s">
        <v>223</v>
      </c>
      <c r="W339">
        <v>1300</v>
      </c>
      <c r="X339" t="s">
        <v>4195</v>
      </c>
      <c r="Y339" t="s">
        <v>4201</v>
      </c>
      <c r="Z339" t="s">
        <v>4512</v>
      </c>
      <c r="AB339" t="s">
        <v>5896</v>
      </c>
      <c r="AC339">
        <v>0</v>
      </c>
      <c r="AD339" t="s">
        <v>6778</v>
      </c>
      <c r="AE339" t="s">
        <v>3526</v>
      </c>
      <c r="AF339">
        <v>1</v>
      </c>
      <c r="AG339">
        <v>1</v>
      </c>
      <c r="AH339">
        <v>1</v>
      </c>
      <c r="AI339">
        <v>55.35</v>
      </c>
      <c r="AL339" t="s">
        <v>6801</v>
      </c>
      <c r="AM339">
        <v>9360</v>
      </c>
    </row>
    <row r="340" spans="1:44">
      <c r="A340" s="1">
        <f>HYPERLINK("https://lsnyc.legalserver.org/matter/dynamic-profile/view/1915756","19-1915756")</f>
        <v>0</v>
      </c>
      <c r="B340" t="s">
        <v>85</v>
      </c>
      <c r="C340" t="s">
        <v>297</v>
      </c>
      <c r="E340" t="s">
        <v>642</v>
      </c>
      <c r="F340" t="s">
        <v>1510</v>
      </c>
      <c r="G340" t="s">
        <v>2312</v>
      </c>
      <c r="H340" t="s">
        <v>3246</v>
      </c>
      <c r="I340" t="s">
        <v>3494</v>
      </c>
      <c r="J340">
        <v>10304</v>
      </c>
      <c r="K340" t="s">
        <v>3522</v>
      </c>
      <c r="L340" t="s">
        <v>3525</v>
      </c>
      <c r="M340" t="s">
        <v>3686</v>
      </c>
      <c r="N340" t="s">
        <v>4109</v>
      </c>
      <c r="O340" t="s">
        <v>4134</v>
      </c>
      <c r="Q340" t="s">
        <v>4147</v>
      </c>
      <c r="R340" t="s">
        <v>3523</v>
      </c>
      <c r="T340" t="s">
        <v>4156</v>
      </c>
      <c r="V340" t="s">
        <v>223</v>
      </c>
      <c r="W340">
        <v>1300</v>
      </c>
      <c r="X340" t="s">
        <v>4195</v>
      </c>
      <c r="Y340" t="s">
        <v>4203</v>
      </c>
      <c r="Z340" t="s">
        <v>4512</v>
      </c>
      <c r="AB340" t="s">
        <v>5896</v>
      </c>
      <c r="AC340">
        <v>404</v>
      </c>
      <c r="AD340" t="s">
        <v>6778</v>
      </c>
      <c r="AE340" t="s">
        <v>3526</v>
      </c>
      <c r="AF340">
        <v>1</v>
      </c>
      <c r="AG340">
        <v>1</v>
      </c>
      <c r="AH340">
        <v>1</v>
      </c>
      <c r="AI340">
        <v>55.35</v>
      </c>
      <c r="AL340" t="s">
        <v>6801</v>
      </c>
      <c r="AM340">
        <v>9360</v>
      </c>
    </row>
    <row r="341" spans="1:44">
      <c r="A341" s="1">
        <f>HYPERLINK("https://lsnyc.legalserver.org/matter/dynamic-profile/view/1916374","19-1916374")</f>
        <v>0</v>
      </c>
      <c r="B341" t="s">
        <v>120</v>
      </c>
      <c r="C341" t="s">
        <v>189</v>
      </c>
      <c r="E341" t="s">
        <v>643</v>
      </c>
      <c r="F341" t="s">
        <v>1511</v>
      </c>
      <c r="G341" t="s">
        <v>2435</v>
      </c>
      <c r="H341">
        <v>2</v>
      </c>
      <c r="I341" t="s">
        <v>3494</v>
      </c>
      <c r="J341">
        <v>10301</v>
      </c>
      <c r="K341" t="s">
        <v>3522</v>
      </c>
      <c r="L341" t="s">
        <v>3525</v>
      </c>
      <c r="M341" t="s">
        <v>3687</v>
      </c>
      <c r="N341" t="s">
        <v>4109</v>
      </c>
      <c r="O341" t="s">
        <v>4134</v>
      </c>
      <c r="Q341" t="s">
        <v>4147</v>
      </c>
      <c r="R341" t="s">
        <v>3523</v>
      </c>
      <c r="T341" t="s">
        <v>4156</v>
      </c>
      <c r="U341" t="s">
        <v>4168</v>
      </c>
      <c r="V341" t="s">
        <v>189</v>
      </c>
      <c r="W341">
        <v>1600</v>
      </c>
      <c r="X341" t="s">
        <v>4195</v>
      </c>
      <c r="Y341" t="s">
        <v>4209</v>
      </c>
      <c r="Z341" t="s">
        <v>4513</v>
      </c>
      <c r="AB341" t="s">
        <v>5897</v>
      </c>
      <c r="AC341">
        <v>2</v>
      </c>
      <c r="AD341" t="s">
        <v>6771</v>
      </c>
      <c r="AE341" t="s">
        <v>3526</v>
      </c>
      <c r="AF341">
        <v>5</v>
      </c>
      <c r="AG341">
        <v>2</v>
      </c>
      <c r="AH341">
        <v>0</v>
      </c>
      <c r="AI341">
        <v>55.35</v>
      </c>
      <c r="AL341" t="s">
        <v>6801</v>
      </c>
      <c r="AM341">
        <v>9360</v>
      </c>
    </row>
    <row r="342" spans="1:44">
      <c r="A342" s="1">
        <f>HYPERLINK("https://lsnyc.legalserver.org/matter/dynamic-profile/view/1909241","19-1909241")</f>
        <v>0</v>
      </c>
      <c r="B342" t="s">
        <v>72</v>
      </c>
      <c r="C342" t="s">
        <v>234</v>
      </c>
      <c r="E342" t="s">
        <v>644</v>
      </c>
      <c r="F342" t="s">
        <v>1512</v>
      </c>
      <c r="G342" t="s">
        <v>2264</v>
      </c>
      <c r="H342" t="s">
        <v>3175</v>
      </c>
      <c r="I342" t="s">
        <v>3490</v>
      </c>
      <c r="J342">
        <v>11212</v>
      </c>
      <c r="K342" t="s">
        <v>3522</v>
      </c>
      <c r="L342" t="s">
        <v>3525</v>
      </c>
      <c r="M342" t="s">
        <v>3562</v>
      </c>
      <c r="N342" t="s">
        <v>3554</v>
      </c>
      <c r="O342" t="s">
        <v>4135</v>
      </c>
      <c r="Q342" t="s">
        <v>4147</v>
      </c>
      <c r="R342" t="s">
        <v>3523</v>
      </c>
      <c r="T342" t="s">
        <v>4156</v>
      </c>
      <c r="U342" t="s">
        <v>4168</v>
      </c>
      <c r="V342" t="s">
        <v>4175</v>
      </c>
      <c r="W342">
        <v>200</v>
      </c>
      <c r="X342" t="s">
        <v>4193</v>
      </c>
      <c r="Y342" t="s">
        <v>4206</v>
      </c>
      <c r="Z342" t="s">
        <v>4514</v>
      </c>
      <c r="AA342" t="s">
        <v>5488</v>
      </c>
      <c r="AB342" t="s">
        <v>5898</v>
      </c>
      <c r="AC342">
        <v>96</v>
      </c>
      <c r="AD342" t="s">
        <v>6772</v>
      </c>
      <c r="AE342" t="s">
        <v>3526</v>
      </c>
      <c r="AF342">
        <v>4</v>
      </c>
      <c r="AG342">
        <v>1</v>
      </c>
      <c r="AH342">
        <v>0</v>
      </c>
      <c r="AI342">
        <v>56.2</v>
      </c>
      <c r="AL342" t="s">
        <v>6801</v>
      </c>
      <c r="AM342">
        <v>7020</v>
      </c>
    </row>
    <row r="343" spans="1:44">
      <c r="A343" s="1">
        <f>HYPERLINK("https://lsnyc.legalserver.org/matter/dynamic-profile/view/1906057","19-1906057")</f>
        <v>0</v>
      </c>
      <c r="B343" t="s">
        <v>51</v>
      </c>
      <c r="C343" t="s">
        <v>235</v>
      </c>
      <c r="E343" t="s">
        <v>645</v>
      </c>
      <c r="F343" t="s">
        <v>1513</v>
      </c>
      <c r="G343" t="s">
        <v>2436</v>
      </c>
      <c r="H343" t="s">
        <v>3248</v>
      </c>
      <c r="I343" t="s">
        <v>3490</v>
      </c>
      <c r="J343">
        <v>11226</v>
      </c>
      <c r="K343" t="s">
        <v>3522</v>
      </c>
      <c r="N343" t="s">
        <v>4110</v>
      </c>
      <c r="O343" t="s">
        <v>4133</v>
      </c>
      <c r="Q343" t="s">
        <v>4147</v>
      </c>
      <c r="R343" t="s">
        <v>3522</v>
      </c>
      <c r="T343" t="s">
        <v>4156</v>
      </c>
      <c r="V343" t="s">
        <v>320</v>
      </c>
      <c r="W343">
        <v>0</v>
      </c>
      <c r="X343" t="s">
        <v>4193</v>
      </c>
      <c r="Z343" t="s">
        <v>4515</v>
      </c>
      <c r="AB343" t="s">
        <v>5899</v>
      </c>
      <c r="AC343">
        <v>54</v>
      </c>
      <c r="AF343">
        <v>0</v>
      </c>
      <c r="AG343">
        <v>3</v>
      </c>
      <c r="AH343">
        <v>0</v>
      </c>
      <c r="AI343">
        <v>56.26</v>
      </c>
      <c r="AL343" t="s">
        <v>6811</v>
      </c>
      <c r="AM343">
        <v>12000</v>
      </c>
    </row>
    <row r="344" spans="1:44">
      <c r="A344" s="1">
        <f>HYPERLINK("https://lsnyc.legalserver.org/matter/dynamic-profile/view/1907850","19-1907850")</f>
        <v>0</v>
      </c>
      <c r="B344" t="s">
        <v>116</v>
      </c>
      <c r="C344" t="s">
        <v>298</v>
      </c>
      <c r="E344" t="s">
        <v>646</v>
      </c>
      <c r="F344" t="s">
        <v>435</v>
      </c>
      <c r="G344" t="s">
        <v>2437</v>
      </c>
      <c r="H344" t="s">
        <v>3249</v>
      </c>
      <c r="I344" t="s">
        <v>3493</v>
      </c>
      <c r="J344">
        <v>10460</v>
      </c>
      <c r="K344" t="s">
        <v>3522</v>
      </c>
      <c r="L344" t="s">
        <v>3525</v>
      </c>
      <c r="M344" t="s">
        <v>3688</v>
      </c>
      <c r="N344" t="s">
        <v>4109</v>
      </c>
      <c r="O344" t="s">
        <v>4134</v>
      </c>
      <c r="Q344" t="s">
        <v>4147</v>
      </c>
      <c r="R344" t="s">
        <v>3523</v>
      </c>
      <c r="T344" t="s">
        <v>4156</v>
      </c>
      <c r="V344" t="s">
        <v>265</v>
      </c>
      <c r="W344">
        <v>1550</v>
      </c>
      <c r="X344" t="s">
        <v>4194</v>
      </c>
      <c r="Y344" t="s">
        <v>4202</v>
      </c>
      <c r="Z344" t="s">
        <v>4516</v>
      </c>
      <c r="AB344" t="s">
        <v>5900</v>
      </c>
      <c r="AC344">
        <v>177</v>
      </c>
      <c r="AF344">
        <v>1</v>
      </c>
      <c r="AG344">
        <v>1</v>
      </c>
      <c r="AH344">
        <v>2</v>
      </c>
      <c r="AI344">
        <v>56.26</v>
      </c>
      <c r="AL344" t="s">
        <v>6801</v>
      </c>
      <c r="AM344">
        <v>12000</v>
      </c>
    </row>
    <row r="345" spans="1:44">
      <c r="A345" s="1">
        <f>HYPERLINK("https://lsnyc.legalserver.org/matter/dynamic-profile/view/1906390","19-1906390")</f>
        <v>0</v>
      </c>
      <c r="B345" t="s">
        <v>132</v>
      </c>
      <c r="C345" t="s">
        <v>241</v>
      </c>
      <c r="D345" t="s">
        <v>257</v>
      </c>
      <c r="E345" t="s">
        <v>647</v>
      </c>
      <c r="F345" t="s">
        <v>1379</v>
      </c>
      <c r="G345" t="s">
        <v>2438</v>
      </c>
      <c r="H345" t="s">
        <v>3250</v>
      </c>
      <c r="I345" t="s">
        <v>3495</v>
      </c>
      <c r="J345">
        <v>10009</v>
      </c>
      <c r="K345" t="s">
        <v>3522</v>
      </c>
      <c r="L345" t="s">
        <v>3525</v>
      </c>
      <c r="N345" t="s">
        <v>3554</v>
      </c>
      <c r="O345" t="s">
        <v>4132</v>
      </c>
      <c r="P345" t="s">
        <v>4139</v>
      </c>
      <c r="Q345" t="s">
        <v>4147</v>
      </c>
      <c r="R345" t="s">
        <v>3523</v>
      </c>
      <c r="T345" t="s">
        <v>4161</v>
      </c>
      <c r="V345" t="s">
        <v>241</v>
      </c>
      <c r="W345">
        <v>400</v>
      </c>
      <c r="X345" t="s">
        <v>4196</v>
      </c>
      <c r="Y345" t="s">
        <v>4204</v>
      </c>
      <c r="Z345" t="s">
        <v>4517</v>
      </c>
      <c r="AB345" t="s">
        <v>5901</v>
      </c>
      <c r="AC345">
        <v>176</v>
      </c>
      <c r="AD345" t="s">
        <v>6778</v>
      </c>
      <c r="AE345" t="s">
        <v>3526</v>
      </c>
      <c r="AF345">
        <v>41</v>
      </c>
      <c r="AG345">
        <v>1</v>
      </c>
      <c r="AH345">
        <v>1</v>
      </c>
      <c r="AI345">
        <v>56.27</v>
      </c>
      <c r="AL345" t="s">
        <v>6802</v>
      </c>
      <c r="AM345">
        <v>9516</v>
      </c>
    </row>
    <row r="346" spans="1:44">
      <c r="A346" s="1">
        <f>HYPERLINK("https://lsnyc.legalserver.org/matter/dynamic-profile/view/1905739","19-1905739")</f>
        <v>0</v>
      </c>
      <c r="B346" t="s">
        <v>107</v>
      </c>
      <c r="C346" t="s">
        <v>207</v>
      </c>
      <c r="D346" t="s">
        <v>238</v>
      </c>
      <c r="E346" t="s">
        <v>648</v>
      </c>
      <c r="F346" t="s">
        <v>1291</v>
      </c>
      <c r="G346" t="s">
        <v>2439</v>
      </c>
      <c r="H346">
        <v>305</v>
      </c>
      <c r="I346" t="s">
        <v>3494</v>
      </c>
      <c r="J346">
        <v>10304</v>
      </c>
      <c r="K346" t="s">
        <v>3522</v>
      </c>
      <c r="L346" t="s">
        <v>3527</v>
      </c>
      <c r="M346" t="s">
        <v>3689</v>
      </c>
      <c r="N346" t="s">
        <v>4107</v>
      </c>
      <c r="O346" t="s">
        <v>4134</v>
      </c>
      <c r="P346" t="s">
        <v>4140</v>
      </c>
      <c r="Q346" t="s">
        <v>4147</v>
      </c>
      <c r="R346" t="s">
        <v>3523</v>
      </c>
      <c r="T346" t="s">
        <v>4156</v>
      </c>
      <c r="U346" t="s">
        <v>4168</v>
      </c>
      <c r="V346" t="s">
        <v>207</v>
      </c>
      <c r="W346">
        <v>1245</v>
      </c>
      <c r="X346" t="s">
        <v>4195</v>
      </c>
      <c r="Y346" t="s">
        <v>4201</v>
      </c>
      <c r="Z346" t="s">
        <v>4518</v>
      </c>
      <c r="AA346" t="s">
        <v>5555</v>
      </c>
      <c r="AB346" t="s">
        <v>5902</v>
      </c>
      <c r="AC346">
        <v>105</v>
      </c>
      <c r="AD346" t="s">
        <v>6772</v>
      </c>
      <c r="AE346" t="s">
        <v>6788</v>
      </c>
      <c r="AF346">
        <v>2</v>
      </c>
      <c r="AG346">
        <v>1</v>
      </c>
      <c r="AH346">
        <v>2</v>
      </c>
      <c r="AI346">
        <v>56.43</v>
      </c>
      <c r="AL346" t="s">
        <v>6801</v>
      </c>
      <c r="AM346">
        <v>12036</v>
      </c>
      <c r="AO346" t="s">
        <v>6921</v>
      </c>
      <c r="AP346" t="s">
        <v>6926</v>
      </c>
      <c r="AQ346" t="s">
        <v>6946</v>
      </c>
      <c r="AR346" t="s">
        <v>6957</v>
      </c>
    </row>
    <row r="347" spans="1:44">
      <c r="A347" s="1">
        <f>HYPERLINK("https://lsnyc.legalserver.org/matter/dynamic-profile/view/1916396","19-1916396")</f>
        <v>0</v>
      </c>
      <c r="B347" t="s">
        <v>120</v>
      </c>
      <c r="C347" t="s">
        <v>189</v>
      </c>
      <c r="E347" t="s">
        <v>649</v>
      </c>
      <c r="F347" t="s">
        <v>1514</v>
      </c>
      <c r="G347" t="s">
        <v>2440</v>
      </c>
      <c r="H347" t="s">
        <v>3251</v>
      </c>
      <c r="I347" t="s">
        <v>3494</v>
      </c>
      <c r="J347">
        <v>10304</v>
      </c>
      <c r="K347" t="s">
        <v>3522</v>
      </c>
      <c r="L347" t="s">
        <v>3525</v>
      </c>
      <c r="M347" t="s">
        <v>3690</v>
      </c>
      <c r="N347" t="s">
        <v>4109</v>
      </c>
      <c r="O347" t="s">
        <v>4134</v>
      </c>
      <c r="Q347" t="s">
        <v>4147</v>
      </c>
      <c r="R347" t="s">
        <v>3523</v>
      </c>
      <c r="T347" t="s">
        <v>4161</v>
      </c>
      <c r="U347" t="s">
        <v>4169</v>
      </c>
      <c r="V347" t="s">
        <v>189</v>
      </c>
      <c r="W347">
        <v>1515</v>
      </c>
      <c r="X347" t="s">
        <v>4195</v>
      </c>
      <c r="Y347" t="s">
        <v>4203</v>
      </c>
      <c r="Z347" t="s">
        <v>4519</v>
      </c>
      <c r="AB347" t="s">
        <v>5903</v>
      </c>
      <c r="AC347">
        <v>150</v>
      </c>
      <c r="AD347" t="s">
        <v>6778</v>
      </c>
      <c r="AE347" t="s">
        <v>6787</v>
      </c>
      <c r="AF347">
        <v>1</v>
      </c>
      <c r="AG347">
        <v>1</v>
      </c>
      <c r="AH347">
        <v>2</v>
      </c>
      <c r="AI347">
        <v>56.66</v>
      </c>
      <c r="AL347" t="s">
        <v>6801</v>
      </c>
      <c r="AM347">
        <v>12086</v>
      </c>
    </row>
    <row r="348" spans="1:44">
      <c r="A348" s="1">
        <f>HYPERLINK("https://lsnyc.legalserver.org/matter/dynamic-profile/view/1905743","19-1905743")</f>
        <v>0</v>
      </c>
      <c r="B348" t="s">
        <v>52</v>
      </c>
      <c r="C348" t="s">
        <v>206</v>
      </c>
      <c r="E348" t="s">
        <v>650</v>
      </c>
      <c r="F348" t="s">
        <v>1515</v>
      </c>
      <c r="G348" t="s">
        <v>2410</v>
      </c>
      <c r="H348" t="s">
        <v>3252</v>
      </c>
      <c r="I348" t="s">
        <v>3490</v>
      </c>
      <c r="J348">
        <v>11226</v>
      </c>
      <c r="K348" t="s">
        <v>3522</v>
      </c>
      <c r="N348" t="s">
        <v>4110</v>
      </c>
      <c r="O348" t="s">
        <v>4137</v>
      </c>
      <c r="Q348" t="s">
        <v>4147</v>
      </c>
      <c r="R348" t="s">
        <v>3522</v>
      </c>
      <c r="T348" t="s">
        <v>4156</v>
      </c>
      <c r="V348" t="s">
        <v>206</v>
      </c>
      <c r="W348">
        <v>0</v>
      </c>
      <c r="X348" t="s">
        <v>4193</v>
      </c>
      <c r="Z348" t="s">
        <v>4520</v>
      </c>
      <c r="AB348" t="s">
        <v>5904</v>
      </c>
      <c r="AC348">
        <v>36</v>
      </c>
      <c r="AD348" t="s">
        <v>6772</v>
      </c>
      <c r="AF348">
        <v>0</v>
      </c>
      <c r="AG348">
        <v>2</v>
      </c>
      <c r="AH348">
        <v>0</v>
      </c>
      <c r="AI348">
        <v>56.77</v>
      </c>
      <c r="AL348" t="s">
        <v>6811</v>
      </c>
      <c r="AM348">
        <v>9600</v>
      </c>
    </row>
    <row r="349" spans="1:44">
      <c r="A349" s="1">
        <f>HYPERLINK("https://lsnyc.legalserver.org/matter/dynamic-profile/view/1912560","19-1912560")</f>
        <v>0</v>
      </c>
      <c r="B349" t="s">
        <v>99</v>
      </c>
      <c r="C349" t="s">
        <v>178</v>
      </c>
      <c r="E349" t="s">
        <v>651</v>
      </c>
      <c r="F349" t="s">
        <v>1446</v>
      </c>
      <c r="G349" t="s">
        <v>2441</v>
      </c>
      <c r="I349" t="s">
        <v>3495</v>
      </c>
      <c r="J349">
        <v>10035</v>
      </c>
      <c r="K349" t="s">
        <v>3522</v>
      </c>
      <c r="L349" t="s">
        <v>3525</v>
      </c>
      <c r="M349" t="s">
        <v>3691</v>
      </c>
      <c r="N349" t="s">
        <v>4108</v>
      </c>
      <c r="O349" t="s">
        <v>4134</v>
      </c>
      <c r="Q349" t="s">
        <v>4147</v>
      </c>
      <c r="R349" t="s">
        <v>3523</v>
      </c>
      <c r="T349" t="s">
        <v>4156</v>
      </c>
      <c r="U349" t="s">
        <v>4168</v>
      </c>
      <c r="V349" t="s">
        <v>178</v>
      </c>
      <c r="W349">
        <v>1167.04</v>
      </c>
      <c r="X349" t="s">
        <v>4196</v>
      </c>
      <c r="Y349" t="s">
        <v>4200</v>
      </c>
      <c r="Z349" t="s">
        <v>4521</v>
      </c>
      <c r="AB349" t="s">
        <v>5905</v>
      </c>
      <c r="AC349">
        <v>54</v>
      </c>
      <c r="AD349" t="s">
        <v>6772</v>
      </c>
      <c r="AE349" t="s">
        <v>6786</v>
      </c>
      <c r="AF349">
        <v>11</v>
      </c>
      <c r="AG349">
        <v>1</v>
      </c>
      <c r="AH349">
        <v>1</v>
      </c>
      <c r="AI349">
        <v>56.77</v>
      </c>
      <c r="AL349" t="s">
        <v>6801</v>
      </c>
      <c r="AM349">
        <v>9600</v>
      </c>
    </row>
    <row r="350" spans="1:44">
      <c r="A350" s="1">
        <f>HYPERLINK("https://lsnyc.legalserver.org/matter/dynamic-profile/view/1915957","19-1915957")</f>
        <v>0</v>
      </c>
      <c r="B350" t="s">
        <v>133</v>
      </c>
      <c r="C350" t="s">
        <v>299</v>
      </c>
      <c r="E350" t="s">
        <v>652</v>
      </c>
      <c r="F350" t="s">
        <v>1428</v>
      </c>
      <c r="G350" t="s">
        <v>2442</v>
      </c>
      <c r="I350" t="s">
        <v>3495</v>
      </c>
      <c r="J350">
        <v>10033</v>
      </c>
      <c r="K350" t="s">
        <v>3522</v>
      </c>
      <c r="L350" t="s">
        <v>3525</v>
      </c>
      <c r="M350" t="s">
        <v>3692</v>
      </c>
      <c r="N350" t="s">
        <v>4109</v>
      </c>
      <c r="O350" t="s">
        <v>4136</v>
      </c>
      <c r="Q350" t="s">
        <v>4147</v>
      </c>
      <c r="R350" t="s">
        <v>3523</v>
      </c>
      <c r="T350" t="s">
        <v>4156</v>
      </c>
      <c r="U350" t="s">
        <v>4168</v>
      </c>
      <c r="V350" t="s">
        <v>299</v>
      </c>
      <c r="W350">
        <v>1089.64</v>
      </c>
      <c r="X350" t="s">
        <v>4196</v>
      </c>
      <c r="Y350" t="s">
        <v>4197</v>
      </c>
      <c r="Z350" t="s">
        <v>4522</v>
      </c>
      <c r="AB350" t="s">
        <v>5906</v>
      </c>
      <c r="AC350">
        <v>83</v>
      </c>
      <c r="AD350" t="s">
        <v>5524</v>
      </c>
      <c r="AE350" t="s">
        <v>3526</v>
      </c>
      <c r="AF350">
        <v>6</v>
      </c>
      <c r="AG350">
        <v>2</v>
      </c>
      <c r="AH350">
        <v>1</v>
      </c>
      <c r="AI350">
        <v>57.2</v>
      </c>
      <c r="AL350" t="s">
        <v>6801</v>
      </c>
      <c r="AM350">
        <v>12200</v>
      </c>
    </row>
    <row r="351" spans="1:44">
      <c r="A351" s="1">
        <f>HYPERLINK("https://lsnyc.legalserver.org/matter/dynamic-profile/view/1901176","19-1901176")</f>
        <v>0</v>
      </c>
      <c r="B351" t="s">
        <v>57</v>
      </c>
      <c r="C351" t="s">
        <v>300</v>
      </c>
      <c r="D351" t="s">
        <v>205</v>
      </c>
      <c r="E351" t="s">
        <v>653</v>
      </c>
      <c r="F351" t="s">
        <v>1516</v>
      </c>
      <c r="G351" t="s">
        <v>2443</v>
      </c>
      <c r="H351" t="s">
        <v>3149</v>
      </c>
      <c r="I351" t="s">
        <v>3490</v>
      </c>
      <c r="J351">
        <v>11233</v>
      </c>
      <c r="K351" t="s">
        <v>3522</v>
      </c>
      <c r="L351" t="s">
        <v>3525</v>
      </c>
      <c r="M351" t="s">
        <v>3554</v>
      </c>
      <c r="N351" t="s">
        <v>4118</v>
      </c>
      <c r="O351" t="s">
        <v>4135</v>
      </c>
      <c r="P351" t="s">
        <v>4142</v>
      </c>
      <c r="Q351" t="s">
        <v>4147</v>
      </c>
      <c r="R351" t="s">
        <v>3523</v>
      </c>
      <c r="T351" t="s">
        <v>4156</v>
      </c>
      <c r="U351" t="s">
        <v>4168</v>
      </c>
      <c r="V351" t="s">
        <v>336</v>
      </c>
      <c r="W351">
        <v>1546.83</v>
      </c>
      <c r="X351" t="s">
        <v>4193</v>
      </c>
      <c r="Y351" t="s">
        <v>4205</v>
      </c>
      <c r="Z351" t="s">
        <v>4523</v>
      </c>
      <c r="AB351" t="s">
        <v>5907</v>
      </c>
      <c r="AC351">
        <v>16</v>
      </c>
      <c r="AD351" t="s">
        <v>6772</v>
      </c>
      <c r="AE351" t="s">
        <v>6786</v>
      </c>
      <c r="AF351">
        <v>9</v>
      </c>
      <c r="AG351">
        <v>1</v>
      </c>
      <c r="AH351">
        <v>2</v>
      </c>
      <c r="AI351">
        <v>57.38</v>
      </c>
      <c r="AL351" t="s">
        <v>6801</v>
      </c>
      <c r="AM351">
        <v>12240</v>
      </c>
      <c r="AP351" t="s">
        <v>4200</v>
      </c>
    </row>
    <row r="352" spans="1:44">
      <c r="A352" s="1">
        <f>HYPERLINK("https://lsnyc.legalserver.org/matter/dynamic-profile/view/1912775","19-1912775")</f>
        <v>0</v>
      </c>
      <c r="B352" t="s">
        <v>103</v>
      </c>
      <c r="C352" t="s">
        <v>253</v>
      </c>
      <c r="D352" t="s">
        <v>267</v>
      </c>
      <c r="E352" t="s">
        <v>654</v>
      </c>
      <c r="F352" t="s">
        <v>1517</v>
      </c>
      <c r="G352" t="s">
        <v>2444</v>
      </c>
      <c r="H352" t="s">
        <v>3131</v>
      </c>
      <c r="I352" t="s">
        <v>3493</v>
      </c>
      <c r="J352">
        <v>10456</v>
      </c>
      <c r="K352" t="s">
        <v>3522</v>
      </c>
      <c r="L352" t="s">
        <v>3525</v>
      </c>
      <c r="M352" t="s">
        <v>3693</v>
      </c>
      <c r="N352" t="s">
        <v>4109</v>
      </c>
      <c r="O352" t="s">
        <v>4132</v>
      </c>
      <c r="P352" t="s">
        <v>4139</v>
      </c>
      <c r="Q352" t="s">
        <v>4147</v>
      </c>
      <c r="R352" t="s">
        <v>3523</v>
      </c>
      <c r="T352" t="s">
        <v>4156</v>
      </c>
      <c r="V352" t="s">
        <v>237</v>
      </c>
      <c r="W352">
        <v>928.11</v>
      </c>
      <c r="X352" t="s">
        <v>4194</v>
      </c>
      <c r="Y352" t="s">
        <v>4206</v>
      </c>
      <c r="Z352" t="s">
        <v>4524</v>
      </c>
      <c r="AB352" t="s">
        <v>5908</v>
      </c>
      <c r="AC352">
        <v>45</v>
      </c>
      <c r="AE352" t="s">
        <v>3526</v>
      </c>
      <c r="AF352">
        <v>17</v>
      </c>
      <c r="AG352">
        <v>1</v>
      </c>
      <c r="AH352">
        <v>0</v>
      </c>
      <c r="AI352">
        <v>57.65</v>
      </c>
      <c r="AL352" t="s">
        <v>6801</v>
      </c>
      <c r="AM352">
        <v>7200</v>
      </c>
    </row>
    <row r="353" spans="1:44">
      <c r="A353" s="1">
        <f>HYPERLINK("https://lsnyc.legalserver.org/matter/dynamic-profile/view/1911062","19-1911062")</f>
        <v>0</v>
      </c>
      <c r="B353" t="s">
        <v>104</v>
      </c>
      <c r="C353" t="s">
        <v>270</v>
      </c>
      <c r="D353" t="s">
        <v>200</v>
      </c>
      <c r="E353" t="s">
        <v>402</v>
      </c>
      <c r="F353" t="s">
        <v>1518</v>
      </c>
      <c r="G353" t="s">
        <v>2445</v>
      </c>
      <c r="H353" t="s">
        <v>3246</v>
      </c>
      <c r="I353" t="s">
        <v>3493</v>
      </c>
      <c r="J353">
        <v>10452</v>
      </c>
      <c r="K353" t="s">
        <v>3522</v>
      </c>
      <c r="L353" t="s">
        <v>3525</v>
      </c>
      <c r="M353" t="s">
        <v>3694</v>
      </c>
      <c r="N353" t="s">
        <v>4108</v>
      </c>
      <c r="O353" t="s">
        <v>4135</v>
      </c>
      <c r="P353" t="s">
        <v>4139</v>
      </c>
      <c r="Q353" t="s">
        <v>4147</v>
      </c>
      <c r="R353" t="s">
        <v>3523</v>
      </c>
      <c r="T353" t="s">
        <v>4156</v>
      </c>
      <c r="U353" t="s">
        <v>4168</v>
      </c>
      <c r="V353" t="s">
        <v>251</v>
      </c>
      <c r="W353">
        <v>1432</v>
      </c>
      <c r="X353" t="s">
        <v>4194</v>
      </c>
      <c r="Y353" t="s">
        <v>4212</v>
      </c>
      <c r="Z353" t="s">
        <v>4525</v>
      </c>
      <c r="AB353" t="s">
        <v>5909</v>
      </c>
      <c r="AC353">
        <v>100</v>
      </c>
      <c r="AD353" t="s">
        <v>6772</v>
      </c>
      <c r="AE353" t="s">
        <v>6786</v>
      </c>
      <c r="AF353">
        <v>45</v>
      </c>
      <c r="AG353">
        <v>1</v>
      </c>
      <c r="AH353">
        <v>0</v>
      </c>
      <c r="AI353">
        <v>57.65</v>
      </c>
      <c r="AL353" t="s">
        <v>6801</v>
      </c>
      <c r="AM353">
        <v>7200</v>
      </c>
    </row>
    <row r="354" spans="1:44">
      <c r="A354" s="1">
        <f>HYPERLINK("https://lsnyc.legalserver.org/matter/dynamic-profile/view/1909153","19-1909153")</f>
        <v>0</v>
      </c>
      <c r="B354" t="s">
        <v>96</v>
      </c>
      <c r="C354" t="s">
        <v>234</v>
      </c>
      <c r="D354" t="s">
        <v>247</v>
      </c>
      <c r="E354" t="s">
        <v>655</v>
      </c>
      <c r="F354" t="s">
        <v>1519</v>
      </c>
      <c r="G354" t="s">
        <v>2446</v>
      </c>
      <c r="H354" t="s">
        <v>3253</v>
      </c>
      <c r="I354" t="s">
        <v>3493</v>
      </c>
      <c r="J354">
        <v>10452</v>
      </c>
      <c r="K354" t="s">
        <v>3522</v>
      </c>
      <c r="L354" t="s">
        <v>3525</v>
      </c>
      <c r="O354" t="s">
        <v>4132</v>
      </c>
      <c r="P354" t="s">
        <v>4139</v>
      </c>
      <c r="Q354" t="s">
        <v>4147</v>
      </c>
      <c r="R354" t="s">
        <v>3523</v>
      </c>
      <c r="T354" t="s">
        <v>4156</v>
      </c>
      <c r="V354" t="s">
        <v>177</v>
      </c>
      <c r="W354">
        <v>684.47</v>
      </c>
      <c r="X354" t="s">
        <v>4194</v>
      </c>
      <c r="Y354" t="s">
        <v>4206</v>
      </c>
      <c r="Z354" t="s">
        <v>4526</v>
      </c>
      <c r="AB354" t="s">
        <v>5910</v>
      </c>
      <c r="AC354">
        <v>131</v>
      </c>
      <c r="AD354" t="s">
        <v>6772</v>
      </c>
      <c r="AE354" t="s">
        <v>6790</v>
      </c>
      <c r="AF354">
        <v>12</v>
      </c>
      <c r="AG354">
        <v>1</v>
      </c>
      <c r="AH354">
        <v>0</v>
      </c>
      <c r="AI354">
        <v>57.65</v>
      </c>
      <c r="AL354" t="s">
        <v>6801</v>
      </c>
      <c r="AM354">
        <v>7200</v>
      </c>
    </row>
    <row r="355" spans="1:44">
      <c r="A355" s="1">
        <f>HYPERLINK("https://lsnyc.legalserver.org/matter/dynamic-profile/view/1910104","19-1910104")</f>
        <v>0</v>
      </c>
      <c r="B355" t="s">
        <v>52</v>
      </c>
      <c r="C355" t="s">
        <v>230</v>
      </c>
      <c r="E355" t="s">
        <v>656</v>
      </c>
      <c r="F355" t="s">
        <v>1415</v>
      </c>
      <c r="G355" t="s">
        <v>2447</v>
      </c>
      <c r="H355">
        <v>10</v>
      </c>
      <c r="I355" t="s">
        <v>3490</v>
      </c>
      <c r="J355">
        <v>11225</v>
      </c>
      <c r="K355" t="s">
        <v>3522</v>
      </c>
      <c r="M355" t="s">
        <v>3526</v>
      </c>
      <c r="N355" t="s">
        <v>4111</v>
      </c>
      <c r="O355" t="s">
        <v>4133</v>
      </c>
      <c r="Q355" t="s">
        <v>4147</v>
      </c>
      <c r="R355" t="s">
        <v>3523</v>
      </c>
      <c r="T355" t="s">
        <v>4156</v>
      </c>
      <c r="U355" t="s">
        <v>4168</v>
      </c>
      <c r="V355" t="s">
        <v>230</v>
      </c>
      <c r="W355">
        <v>1519.6</v>
      </c>
      <c r="X355" t="s">
        <v>4193</v>
      </c>
      <c r="Z355" t="s">
        <v>4527</v>
      </c>
      <c r="AC355">
        <v>12</v>
      </c>
      <c r="AD355" t="s">
        <v>6772</v>
      </c>
      <c r="AF355">
        <v>17</v>
      </c>
      <c r="AG355">
        <v>2</v>
      </c>
      <c r="AH355">
        <v>0</v>
      </c>
      <c r="AI355">
        <v>57.69</v>
      </c>
      <c r="AL355" t="s">
        <v>6802</v>
      </c>
      <c r="AM355">
        <v>9756</v>
      </c>
    </row>
    <row r="356" spans="1:44">
      <c r="A356" s="1">
        <f>HYPERLINK("https://lsnyc.legalserver.org/matter/dynamic-profile/view/1904604","19-1904604")</f>
        <v>0</v>
      </c>
      <c r="B356" t="s">
        <v>116</v>
      </c>
      <c r="C356" t="s">
        <v>261</v>
      </c>
      <c r="E356" t="s">
        <v>657</v>
      </c>
      <c r="F356" t="s">
        <v>1520</v>
      </c>
      <c r="G356" t="s">
        <v>2448</v>
      </c>
      <c r="H356">
        <v>7</v>
      </c>
      <c r="I356" t="s">
        <v>3493</v>
      </c>
      <c r="J356">
        <v>10460</v>
      </c>
      <c r="K356" t="s">
        <v>3522</v>
      </c>
      <c r="L356" t="s">
        <v>3525</v>
      </c>
      <c r="M356" t="s">
        <v>3695</v>
      </c>
      <c r="N356" t="s">
        <v>4111</v>
      </c>
      <c r="O356" t="s">
        <v>4134</v>
      </c>
      <c r="Q356" t="s">
        <v>4147</v>
      </c>
      <c r="R356" t="s">
        <v>3523</v>
      </c>
      <c r="T356" t="s">
        <v>4156</v>
      </c>
      <c r="V356" t="s">
        <v>260</v>
      </c>
      <c r="W356">
        <v>0</v>
      </c>
      <c r="X356" t="s">
        <v>4194</v>
      </c>
      <c r="Y356" t="s">
        <v>4201</v>
      </c>
      <c r="Z356" t="s">
        <v>4528</v>
      </c>
      <c r="AA356" t="s">
        <v>5556</v>
      </c>
      <c r="AB356" t="s">
        <v>5911</v>
      </c>
      <c r="AC356">
        <v>30</v>
      </c>
      <c r="AD356" t="s">
        <v>6778</v>
      </c>
      <c r="AE356" t="s">
        <v>6786</v>
      </c>
      <c r="AF356">
        <v>0</v>
      </c>
      <c r="AG356">
        <v>2</v>
      </c>
      <c r="AH356">
        <v>1</v>
      </c>
      <c r="AI356">
        <v>57.72</v>
      </c>
      <c r="AL356" t="s">
        <v>6801</v>
      </c>
      <c r="AM356">
        <v>12312</v>
      </c>
    </row>
    <row r="357" spans="1:44">
      <c r="A357" s="1">
        <f>HYPERLINK("https://lsnyc.legalserver.org/matter/dynamic-profile/view/1914829","19-1914829")</f>
        <v>0</v>
      </c>
      <c r="B357" t="s">
        <v>54</v>
      </c>
      <c r="C357" t="s">
        <v>301</v>
      </c>
      <c r="E357" t="s">
        <v>489</v>
      </c>
      <c r="F357" t="s">
        <v>1467</v>
      </c>
      <c r="G357" t="s">
        <v>2385</v>
      </c>
      <c r="H357" t="s">
        <v>3136</v>
      </c>
      <c r="I357" t="s">
        <v>3490</v>
      </c>
      <c r="J357">
        <v>11207</v>
      </c>
      <c r="K357" t="s">
        <v>3522</v>
      </c>
      <c r="L357" t="s">
        <v>3525</v>
      </c>
      <c r="N357" t="s">
        <v>3554</v>
      </c>
      <c r="O357" t="s">
        <v>4135</v>
      </c>
      <c r="Q357" t="s">
        <v>4147</v>
      </c>
      <c r="R357" t="s">
        <v>3523</v>
      </c>
      <c r="T357" t="s">
        <v>4156</v>
      </c>
      <c r="V357" t="s">
        <v>267</v>
      </c>
      <c r="W357">
        <v>960</v>
      </c>
      <c r="X357" t="s">
        <v>4193</v>
      </c>
      <c r="Y357" t="s">
        <v>4201</v>
      </c>
      <c r="Z357" t="s">
        <v>4451</v>
      </c>
      <c r="AC357">
        <v>6</v>
      </c>
      <c r="AD357" t="s">
        <v>6772</v>
      </c>
      <c r="AF357">
        <v>8</v>
      </c>
      <c r="AG357">
        <v>1</v>
      </c>
      <c r="AH357">
        <v>3</v>
      </c>
      <c r="AI357">
        <v>58.36</v>
      </c>
      <c r="AL357" t="s">
        <v>6801</v>
      </c>
      <c r="AM357">
        <v>15026.96</v>
      </c>
    </row>
    <row r="358" spans="1:44">
      <c r="A358" s="1">
        <f>HYPERLINK("https://lsnyc.legalserver.org/matter/dynamic-profile/view/1909484","19-1909484")</f>
        <v>0</v>
      </c>
      <c r="B358" t="s">
        <v>61</v>
      </c>
      <c r="C358" t="s">
        <v>184</v>
      </c>
      <c r="D358" t="s">
        <v>184</v>
      </c>
      <c r="E358" t="s">
        <v>499</v>
      </c>
      <c r="F358" t="s">
        <v>1521</v>
      </c>
      <c r="G358" t="s">
        <v>2449</v>
      </c>
      <c r="H358" t="s">
        <v>3254</v>
      </c>
      <c r="I358" t="s">
        <v>3490</v>
      </c>
      <c r="J358">
        <v>11208</v>
      </c>
      <c r="K358" t="s">
        <v>3522</v>
      </c>
      <c r="L358" t="s">
        <v>3525</v>
      </c>
      <c r="M358" t="s">
        <v>3696</v>
      </c>
      <c r="N358" t="s">
        <v>4107</v>
      </c>
      <c r="O358" t="s">
        <v>4132</v>
      </c>
      <c r="P358" t="s">
        <v>4139</v>
      </c>
      <c r="Q358" t="s">
        <v>4147</v>
      </c>
      <c r="R358" t="s">
        <v>3523</v>
      </c>
      <c r="T358" t="s">
        <v>4156</v>
      </c>
      <c r="V358" t="s">
        <v>197</v>
      </c>
      <c r="W358">
        <v>1064</v>
      </c>
      <c r="X358" t="s">
        <v>4193</v>
      </c>
      <c r="Y358" t="s">
        <v>4198</v>
      </c>
      <c r="Z358" t="s">
        <v>4529</v>
      </c>
      <c r="AA358" t="s">
        <v>3526</v>
      </c>
      <c r="AB358" t="s">
        <v>5912</v>
      </c>
      <c r="AC358">
        <v>2</v>
      </c>
      <c r="AD358" t="s">
        <v>6771</v>
      </c>
      <c r="AE358" t="s">
        <v>3526</v>
      </c>
      <c r="AF358">
        <v>15</v>
      </c>
      <c r="AG358">
        <v>4</v>
      </c>
      <c r="AH358">
        <v>0</v>
      </c>
      <c r="AI358">
        <v>58.39</v>
      </c>
      <c r="AL358" t="s">
        <v>6802</v>
      </c>
      <c r="AM358">
        <v>15036</v>
      </c>
    </row>
    <row r="359" spans="1:44">
      <c r="A359" s="1">
        <f>HYPERLINK("https://lsnyc.legalserver.org/matter/dynamic-profile/view/1911923","19-1911923")</f>
        <v>0</v>
      </c>
      <c r="B359" t="s">
        <v>104</v>
      </c>
      <c r="C359" t="s">
        <v>251</v>
      </c>
      <c r="D359" t="s">
        <v>204</v>
      </c>
      <c r="E359" t="s">
        <v>658</v>
      </c>
      <c r="F359" t="s">
        <v>1262</v>
      </c>
      <c r="G359" t="s">
        <v>2450</v>
      </c>
      <c r="H359" t="s">
        <v>3255</v>
      </c>
      <c r="I359" t="s">
        <v>3493</v>
      </c>
      <c r="J359">
        <v>10453</v>
      </c>
      <c r="K359" t="s">
        <v>3522</v>
      </c>
      <c r="L359" t="s">
        <v>3525</v>
      </c>
      <c r="N359" t="s">
        <v>4125</v>
      </c>
      <c r="O359" t="s">
        <v>4135</v>
      </c>
      <c r="P359" t="s">
        <v>4142</v>
      </c>
      <c r="Q359" t="s">
        <v>4147</v>
      </c>
      <c r="T359" t="s">
        <v>4156</v>
      </c>
      <c r="V359" t="s">
        <v>204</v>
      </c>
      <c r="W359">
        <v>1347</v>
      </c>
      <c r="X359" t="s">
        <v>4194</v>
      </c>
      <c r="Y359" t="s">
        <v>4198</v>
      </c>
      <c r="Z359" t="s">
        <v>4530</v>
      </c>
      <c r="AB359" t="s">
        <v>5913</v>
      </c>
      <c r="AC359">
        <v>38</v>
      </c>
      <c r="AE359" t="s">
        <v>6786</v>
      </c>
      <c r="AF359">
        <v>35</v>
      </c>
      <c r="AG359">
        <v>1</v>
      </c>
      <c r="AH359">
        <v>0</v>
      </c>
      <c r="AI359">
        <v>58.49</v>
      </c>
      <c r="AL359" t="s">
        <v>6801</v>
      </c>
      <c r="AM359">
        <v>7306</v>
      </c>
    </row>
    <row r="360" spans="1:44">
      <c r="A360" s="1">
        <f>HYPERLINK("https://lsnyc.legalserver.org/matter/dynamic-profile/view/1909677","19-1909677")</f>
        <v>0</v>
      </c>
      <c r="B360" t="s">
        <v>120</v>
      </c>
      <c r="C360" t="s">
        <v>252</v>
      </c>
      <c r="D360" t="s">
        <v>201</v>
      </c>
      <c r="E360" t="s">
        <v>659</v>
      </c>
      <c r="F360" t="s">
        <v>1522</v>
      </c>
      <c r="G360" t="s">
        <v>2451</v>
      </c>
      <c r="H360" t="s">
        <v>3256</v>
      </c>
      <c r="I360" t="s">
        <v>3494</v>
      </c>
      <c r="J360">
        <v>10301</v>
      </c>
      <c r="K360" t="s">
        <v>3522</v>
      </c>
      <c r="L360" t="s">
        <v>3525</v>
      </c>
      <c r="M360" t="s">
        <v>3697</v>
      </c>
      <c r="N360" t="s">
        <v>4107</v>
      </c>
      <c r="O360" t="s">
        <v>4134</v>
      </c>
      <c r="P360" t="s">
        <v>4143</v>
      </c>
      <c r="Q360" t="s">
        <v>4147</v>
      </c>
      <c r="R360" t="s">
        <v>3523</v>
      </c>
      <c r="T360" t="s">
        <v>4156</v>
      </c>
      <c r="U360" t="s">
        <v>4169</v>
      </c>
      <c r="V360" t="s">
        <v>252</v>
      </c>
      <c r="W360">
        <v>1534</v>
      </c>
      <c r="X360" t="s">
        <v>4195</v>
      </c>
      <c r="Y360" t="s">
        <v>4201</v>
      </c>
      <c r="Z360" t="s">
        <v>4531</v>
      </c>
      <c r="AA360">
        <v>6882415</v>
      </c>
      <c r="AB360" t="s">
        <v>5914</v>
      </c>
      <c r="AC360">
        <v>5</v>
      </c>
      <c r="AD360" t="s">
        <v>6771</v>
      </c>
      <c r="AE360" t="s">
        <v>6788</v>
      </c>
      <c r="AF360">
        <v>4</v>
      </c>
      <c r="AG360">
        <v>1</v>
      </c>
      <c r="AH360">
        <v>2</v>
      </c>
      <c r="AI360">
        <v>58.96</v>
      </c>
      <c r="AL360" t="s">
        <v>6801</v>
      </c>
      <c r="AM360">
        <v>12576</v>
      </c>
      <c r="AO360" t="s">
        <v>6916</v>
      </c>
      <c r="AP360" t="s">
        <v>6924</v>
      </c>
      <c r="AQ360" t="s">
        <v>6945</v>
      </c>
      <c r="AR360" t="s">
        <v>6971</v>
      </c>
    </row>
    <row r="361" spans="1:44">
      <c r="A361" s="1">
        <f>HYPERLINK("https://lsnyc.legalserver.org/matter/dynamic-profile/view/1914745","19-1914745")</f>
        <v>0</v>
      </c>
      <c r="B361" t="s">
        <v>82</v>
      </c>
      <c r="C361" t="s">
        <v>267</v>
      </c>
      <c r="E361" t="s">
        <v>660</v>
      </c>
      <c r="F361" t="s">
        <v>1523</v>
      </c>
      <c r="G361" t="s">
        <v>2368</v>
      </c>
      <c r="H361" t="s">
        <v>3153</v>
      </c>
      <c r="I361" t="s">
        <v>3493</v>
      </c>
      <c r="J361">
        <v>10453</v>
      </c>
      <c r="K361" t="s">
        <v>3522</v>
      </c>
      <c r="L361" t="s">
        <v>3525</v>
      </c>
      <c r="M361" t="s">
        <v>3698</v>
      </c>
      <c r="N361" t="s">
        <v>4109</v>
      </c>
      <c r="O361" t="s">
        <v>4134</v>
      </c>
      <c r="Q361" t="s">
        <v>4147</v>
      </c>
      <c r="R361" t="s">
        <v>3523</v>
      </c>
      <c r="T361" t="s">
        <v>4156</v>
      </c>
      <c r="U361" t="s">
        <v>4168</v>
      </c>
      <c r="V361" t="s">
        <v>219</v>
      </c>
      <c r="W361">
        <v>463</v>
      </c>
      <c r="X361" t="s">
        <v>4194</v>
      </c>
      <c r="Y361" t="s">
        <v>4204</v>
      </c>
      <c r="Z361" t="s">
        <v>4532</v>
      </c>
      <c r="AB361" t="s">
        <v>5915</v>
      </c>
      <c r="AC361">
        <v>170</v>
      </c>
      <c r="AD361" t="s">
        <v>6772</v>
      </c>
      <c r="AE361" t="s">
        <v>6786</v>
      </c>
      <c r="AF361">
        <v>10</v>
      </c>
      <c r="AG361">
        <v>2</v>
      </c>
      <c r="AH361">
        <v>4</v>
      </c>
      <c r="AI361">
        <v>58.98</v>
      </c>
      <c r="AL361" t="s">
        <v>6802</v>
      </c>
      <c r="AM361">
        <v>20400</v>
      </c>
    </row>
    <row r="362" spans="1:44">
      <c r="A362" s="1">
        <f>HYPERLINK("https://lsnyc.legalserver.org/matter/dynamic-profile/view/1903853","19-1903853")</f>
        <v>0</v>
      </c>
      <c r="B362" t="s">
        <v>112</v>
      </c>
      <c r="C362" t="s">
        <v>259</v>
      </c>
      <c r="D362" t="s">
        <v>235</v>
      </c>
      <c r="E362" t="s">
        <v>661</v>
      </c>
      <c r="F362" t="s">
        <v>1524</v>
      </c>
      <c r="G362" t="s">
        <v>2452</v>
      </c>
      <c r="H362">
        <v>1</v>
      </c>
      <c r="I362" t="s">
        <v>3490</v>
      </c>
      <c r="J362">
        <v>11233</v>
      </c>
      <c r="K362" t="s">
        <v>3522</v>
      </c>
      <c r="L362" t="s">
        <v>3525</v>
      </c>
      <c r="M362" t="s">
        <v>3699</v>
      </c>
      <c r="N362" t="s">
        <v>4107</v>
      </c>
      <c r="O362" t="s">
        <v>4135</v>
      </c>
      <c r="P362" t="s">
        <v>4142</v>
      </c>
      <c r="Q362" t="s">
        <v>4147</v>
      </c>
      <c r="R362" t="s">
        <v>3523</v>
      </c>
      <c r="T362" t="s">
        <v>4159</v>
      </c>
      <c r="U362" t="s">
        <v>4169</v>
      </c>
      <c r="V362" t="s">
        <v>274</v>
      </c>
      <c r="W362">
        <v>650</v>
      </c>
      <c r="X362" t="s">
        <v>4193</v>
      </c>
      <c r="Y362" t="s">
        <v>4201</v>
      </c>
      <c r="Z362" t="s">
        <v>4533</v>
      </c>
      <c r="AB362" t="s">
        <v>5916</v>
      </c>
      <c r="AC362">
        <v>3</v>
      </c>
      <c r="AD362" t="s">
        <v>6771</v>
      </c>
      <c r="AE362" t="s">
        <v>3526</v>
      </c>
      <c r="AF362">
        <v>4</v>
      </c>
      <c r="AG362">
        <v>2</v>
      </c>
      <c r="AH362">
        <v>0</v>
      </c>
      <c r="AI362">
        <v>59.04</v>
      </c>
      <c r="AL362" t="s">
        <v>6801</v>
      </c>
      <c r="AM362">
        <v>9984</v>
      </c>
      <c r="AP362" t="s">
        <v>4200</v>
      </c>
      <c r="AQ362" t="s">
        <v>6946</v>
      </c>
      <c r="AR362" t="s">
        <v>6972</v>
      </c>
    </row>
    <row r="363" spans="1:44">
      <c r="A363" s="1">
        <f>HYPERLINK("https://lsnyc.legalserver.org/matter/dynamic-profile/view/1907798","19-1907798")</f>
        <v>0</v>
      </c>
      <c r="B363" t="s">
        <v>66</v>
      </c>
      <c r="C363" t="s">
        <v>222</v>
      </c>
      <c r="E363" t="s">
        <v>662</v>
      </c>
      <c r="F363" t="s">
        <v>1525</v>
      </c>
      <c r="G363" t="s">
        <v>2210</v>
      </c>
      <c r="H363" t="s">
        <v>3257</v>
      </c>
      <c r="I363" t="s">
        <v>3490</v>
      </c>
      <c r="J363">
        <v>11217</v>
      </c>
      <c r="K363" t="s">
        <v>3522</v>
      </c>
      <c r="L363" t="s">
        <v>3525</v>
      </c>
      <c r="N363" t="s">
        <v>4115</v>
      </c>
      <c r="O363" t="s">
        <v>4134</v>
      </c>
      <c r="Q363" t="s">
        <v>4147</v>
      </c>
      <c r="T363" t="s">
        <v>4156</v>
      </c>
      <c r="V363" t="s">
        <v>233</v>
      </c>
      <c r="W363">
        <v>1900</v>
      </c>
      <c r="X363" t="s">
        <v>4193</v>
      </c>
      <c r="Y363" t="s">
        <v>4200</v>
      </c>
      <c r="Z363" t="s">
        <v>4534</v>
      </c>
      <c r="AB363" t="s">
        <v>5917</v>
      </c>
      <c r="AC363">
        <v>8</v>
      </c>
      <c r="AF363">
        <v>18</v>
      </c>
      <c r="AG363">
        <v>3</v>
      </c>
      <c r="AH363">
        <v>0</v>
      </c>
      <c r="AI363">
        <v>59.24</v>
      </c>
      <c r="AL363" t="s">
        <v>6802</v>
      </c>
      <c r="AM363">
        <v>12636</v>
      </c>
    </row>
    <row r="364" spans="1:44">
      <c r="A364" s="1">
        <f>HYPERLINK("https://lsnyc.legalserver.org/matter/dynamic-profile/view/1901339","19-1901339")</f>
        <v>0</v>
      </c>
      <c r="B364" t="s">
        <v>45</v>
      </c>
      <c r="C364" t="s">
        <v>302</v>
      </c>
      <c r="E364" t="s">
        <v>663</v>
      </c>
      <c r="F364" t="s">
        <v>1526</v>
      </c>
      <c r="G364" t="s">
        <v>2453</v>
      </c>
      <c r="I364" t="s">
        <v>3500</v>
      </c>
      <c r="J364">
        <v>11423</v>
      </c>
      <c r="K364" t="s">
        <v>3522</v>
      </c>
      <c r="L364" t="s">
        <v>3527</v>
      </c>
      <c r="M364" t="s">
        <v>3700</v>
      </c>
      <c r="N364" t="s">
        <v>4108</v>
      </c>
      <c r="O364" t="s">
        <v>4132</v>
      </c>
      <c r="Q364" t="s">
        <v>4147</v>
      </c>
      <c r="R364" t="s">
        <v>3523</v>
      </c>
      <c r="T364" t="s">
        <v>4156</v>
      </c>
      <c r="U364" t="s">
        <v>4168</v>
      </c>
      <c r="V364" t="s">
        <v>266</v>
      </c>
      <c r="W364">
        <v>700</v>
      </c>
      <c r="X364" t="s">
        <v>4192</v>
      </c>
      <c r="Y364" t="s">
        <v>4197</v>
      </c>
      <c r="Z364" t="s">
        <v>4535</v>
      </c>
      <c r="AA364" t="s">
        <v>5557</v>
      </c>
      <c r="AB364" t="s">
        <v>5918</v>
      </c>
      <c r="AC364">
        <v>2</v>
      </c>
      <c r="AD364" t="s">
        <v>6771</v>
      </c>
      <c r="AE364" t="s">
        <v>3526</v>
      </c>
      <c r="AF364">
        <v>53</v>
      </c>
      <c r="AG364">
        <v>2</v>
      </c>
      <c r="AH364">
        <v>0</v>
      </c>
      <c r="AI364">
        <v>59.61</v>
      </c>
      <c r="AL364" t="s">
        <v>6801</v>
      </c>
      <c r="AM364">
        <v>10080</v>
      </c>
      <c r="AQ364" t="s">
        <v>6945</v>
      </c>
      <c r="AR364" t="s">
        <v>6973</v>
      </c>
    </row>
    <row r="365" spans="1:44">
      <c r="A365" s="1">
        <f>HYPERLINK("https://lsnyc.legalserver.org/matter/dynamic-profile/view/1912336","19-1912336")</f>
        <v>0</v>
      </c>
      <c r="B365" t="s">
        <v>123</v>
      </c>
      <c r="C365" t="s">
        <v>202</v>
      </c>
      <c r="E365" t="s">
        <v>521</v>
      </c>
      <c r="F365" t="s">
        <v>1446</v>
      </c>
      <c r="G365" t="s">
        <v>2454</v>
      </c>
      <c r="H365" t="s">
        <v>3178</v>
      </c>
      <c r="I365" t="s">
        <v>3495</v>
      </c>
      <c r="J365">
        <v>10040</v>
      </c>
      <c r="K365" t="s">
        <v>3522</v>
      </c>
      <c r="L365" t="s">
        <v>3525</v>
      </c>
      <c r="N365" t="s">
        <v>4110</v>
      </c>
      <c r="O365" t="s">
        <v>4134</v>
      </c>
      <c r="Q365" t="s">
        <v>4147</v>
      </c>
      <c r="R365" t="s">
        <v>3522</v>
      </c>
      <c r="T365" t="s">
        <v>4156</v>
      </c>
      <c r="V365" t="s">
        <v>202</v>
      </c>
      <c r="W365">
        <v>1134.04</v>
      </c>
      <c r="X365" t="s">
        <v>4196</v>
      </c>
      <c r="Y365" t="s">
        <v>4201</v>
      </c>
      <c r="Z365" t="s">
        <v>4536</v>
      </c>
      <c r="AA365" t="s">
        <v>5558</v>
      </c>
      <c r="AB365" t="s">
        <v>5919</v>
      </c>
      <c r="AC365">
        <v>44</v>
      </c>
      <c r="AD365" t="s">
        <v>6772</v>
      </c>
      <c r="AE365" t="s">
        <v>6786</v>
      </c>
      <c r="AF365">
        <v>36</v>
      </c>
      <c r="AG365">
        <v>1</v>
      </c>
      <c r="AH365">
        <v>0</v>
      </c>
      <c r="AI365">
        <v>59.72</v>
      </c>
      <c r="AL365" t="s">
        <v>6802</v>
      </c>
      <c r="AM365">
        <v>7459.2</v>
      </c>
    </row>
    <row r="366" spans="1:44">
      <c r="A366" s="1">
        <f>HYPERLINK("https://lsnyc.legalserver.org/matter/dynamic-profile/view/1912943","19-1912943")</f>
        <v>0</v>
      </c>
      <c r="B366" t="s">
        <v>123</v>
      </c>
      <c r="C366" t="s">
        <v>196</v>
      </c>
      <c r="D366" t="s">
        <v>258</v>
      </c>
      <c r="E366" t="s">
        <v>521</v>
      </c>
      <c r="F366" t="s">
        <v>1446</v>
      </c>
      <c r="G366" t="s">
        <v>2454</v>
      </c>
      <c r="H366" t="s">
        <v>3178</v>
      </c>
      <c r="I366" t="s">
        <v>3495</v>
      </c>
      <c r="J366">
        <v>10040</v>
      </c>
      <c r="K366" t="s">
        <v>3522</v>
      </c>
      <c r="L366" t="s">
        <v>3525</v>
      </c>
      <c r="M366" t="s">
        <v>3675</v>
      </c>
      <c r="N366" t="s">
        <v>4110</v>
      </c>
      <c r="O366" t="s">
        <v>4137</v>
      </c>
      <c r="P366" t="s">
        <v>4145</v>
      </c>
      <c r="Q366" t="s">
        <v>4147</v>
      </c>
      <c r="R366" t="s">
        <v>3522</v>
      </c>
      <c r="T366" t="s">
        <v>4156</v>
      </c>
      <c r="V366" t="s">
        <v>196</v>
      </c>
      <c r="W366">
        <v>1134.04</v>
      </c>
      <c r="X366" t="s">
        <v>4196</v>
      </c>
      <c r="Y366" t="s">
        <v>4201</v>
      </c>
      <c r="Z366" t="s">
        <v>4536</v>
      </c>
      <c r="AB366" t="s">
        <v>5919</v>
      </c>
      <c r="AC366">
        <v>44</v>
      </c>
      <c r="AD366" t="s">
        <v>6772</v>
      </c>
      <c r="AE366" t="s">
        <v>6786</v>
      </c>
      <c r="AF366">
        <v>36</v>
      </c>
      <c r="AG366">
        <v>1</v>
      </c>
      <c r="AH366">
        <v>0</v>
      </c>
      <c r="AI366">
        <v>59.72</v>
      </c>
      <c r="AL366" t="s">
        <v>6802</v>
      </c>
      <c r="AM366">
        <v>7459.2</v>
      </c>
    </row>
    <row r="367" spans="1:44">
      <c r="A367" s="1">
        <f>HYPERLINK("https://lsnyc.legalserver.org/matter/dynamic-profile/view/1909667","19-1909667")</f>
        <v>0</v>
      </c>
      <c r="B367" t="s">
        <v>116</v>
      </c>
      <c r="C367" t="s">
        <v>231</v>
      </c>
      <c r="E367" t="s">
        <v>664</v>
      </c>
      <c r="F367" t="s">
        <v>1527</v>
      </c>
      <c r="G367" t="s">
        <v>2455</v>
      </c>
      <c r="I367" t="s">
        <v>3493</v>
      </c>
      <c r="J367">
        <v>10457</v>
      </c>
      <c r="K367" t="s">
        <v>3522</v>
      </c>
      <c r="L367" t="s">
        <v>3525</v>
      </c>
      <c r="M367" t="s">
        <v>3701</v>
      </c>
      <c r="N367" t="s">
        <v>4109</v>
      </c>
      <c r="O367" t="s">
        <v>4134</v>
      </c>
      <c r="Q367" t="s">
        <v>4147</v>
      </c>
      <c r="R367" t="s">
        <v>3523</v>
      </c>
      <c r="T367" t="s">
        <v>4156</v>
      </c>
      <c r="V367" t="s">
        <v>314</v>
      </c>
      <c r="W367">
        <v>1112.26</v>
      </c>
      <c r="X367" t="s">
        <v>4194</v>
      </c>
      <c r="Y367" t="s">
        <v>4197</v>
      </c>
      <c r="Z367" t="s">
        <v>4537</v>
      </c>
      <c r="AA367" t="s">
        <v>5559</v>
      </c>
      <c r="AB367" t="s">
        <v>5920</v>
      </c>
      <c r="AC367">
        <v>86</v>
      </c>
      <c r="AD367" t="s">
        <v>6772</v>
      </c>
      <c r="AE367" t="s">
        <v>4200</v>
      </c>
      <c r="AF367">
        <v>5</v>
      </c>
      <c r="AG367">
        <v>2</v>
      </c>
      <c r="AH367">
        <v>0</v>
      </c>
      <c r="AI367">
        <v>60.32</v>
      </c>
      <c r="AL367" t="s">
        <v>6801</v>
      </c>
      <c r="AM367">
        <v>10200</v>
      </c>
    </row>
    <row r="368" spans="1:44">
      <c r="A368" s="1">
        <f>HYPERLINK("https://lsnyc.legalserver.org/matter/dynamic-profile/view/1909014","19-1909014")</f>
        <v>0</v>
      </c>
      <c r="B368" t="s">
        <v>76</v>
      </c>
      <c r="C368" t="s">
        <v>275</v>
      </c>
      <c r="D368" t="s">
        <v>313</v>
      </c>
      <c r="E368" t="s">
        <v>665</v>
      </c>
      <c r="F368" t="s">
        <v>1528</v>
      </c>
      <c r="G368" t="s">
        <v>2456</v>
      </c>
      <c r="H368" t="s">
        <v>3148</v>
      </c>
      <c r="I368" t="s">
        <v>3493</v>
      </c>
      <c r="J368">
        <v>10457</v>
      </c>
      <c r="K368" t="s">
        <v>3522</v>
      </c>
      <c r="L368" t="s">
        <v>3525</v>
      </c>
      <c r="O368" t="s">
        <v>4135</v>
      </c>
      <c r="P368" t="s">
        <v>4142</v>
      </c>
      <c r="Q368" t="s">
        <v>4147</v>
      </c>
      <c r="R368" t="s">
        <v>3523</v>
      </c>
      <c r="T368" t="s">
        <v>4156</v>
      </c>
      <c r="V368" t="s">
        <v>234</v>
      </c>
      <c r="W368">
        <v>0</v>
      </c>
      <c r="X368" t="s">
        <v>4194</v>
      </c>
      <c r="Y368" t="s">
        <v>4206</v>
      </c>
      <c r="Z368" t="s">
        <v>4538</v>
      </c>
      <c r="AB368" t="s">
        <v>5921</v>
      </c>
      <c r="AC368">
        <v>36</v>
      </c>
      <c r="AD368" t="s">
        <v>5524</v>
      </c>
      <c r="AE368" t="s">
        <v>6786</v>
      </c>
      <c r="AF368">
        <v>30</v>
      </c>
      <c r="AG368">
        <v>1</v>
      </c>
      <c r="AH368">
        <v>0</v>
      </c>
      <c r="AI368">
        <v>60.53</v>
      </c>
      <c r="AL368" t="s">
        <v>6802</v>
      </c>
      <c r="AM368">
        <v>7560</v>
      </c>
    </row>
    <row r="369" spans="1:44">
      <c r="A369" s="1">
        <f>HYPERLINK("https://lsnyc.legalserver.org/matter/dynamic-profile/view/1906049","19-1906049")</f>
        <v>0</v>
      </c>
      <c r="B369" t="s">
        <v>86</v>
      </c>
      <c r="C369" t="s">
        <v>207</v>
      </c>
      <c r="D369" t="s">
        <v>220</v>
      </c>
      <c r="E369" t="s">
        <v>666</v>
      </c>
      <c r="F369" t="s">
        <v>1529</v>
      </c>
      <c r="G369" t="s">
        <v>2457</v>
      </c>
      <c r="H369" t="s">
        <v>3258</v>
      </c>
      <c r="I369" t="s">
        <v>3495</v>
      </c>
      <c r="J369">
        <v>10033</v>
      </c>
      <c r="K369" t="s">
        <v>3522</v>
      </c>
      <c r="L369" t="s">
        <v>3525</v>
      </c>
      <c r="O369" t="s">
        <v>4132</v>
      </c>
      <c r="P369" t="s">
        <v>4139</v>
      </c>
      <c r="Q369" t="s">
        <v>4147</v>
      </c>
      <c r="R369" t="s">
        <v>3523</v>
      </c>
      <c r="T369" t="s">
        <v>4156</v>
      </c>
      <c r="V369" t="s">
        <v>207</v>
      </c>
      <c r="W369">
        <v>2668</v>
      </c>
      <c r="X369" t="s">
        <v>4196</v>
      </c>
      <c r="Y369" t="s">
        <v>4201</v>
      </c>
      <c r="Z369" t="s">
        <v>4539</v>
      </c>
      <c r="AB369" t="s">
        <v>5922</v>
      </c>
      <c r="AC369">
        <v>480</v>
      </c>
      <c r="AD369" t="s">
        <v>6772</v>
      </c>
      <c r="AE369" t="s">
        <v>3526</v>
      </c>
      <c r="AF369">
        <v>5</v>
      </c>
      <c r="AG369">
        <v>1</v>
      </c>
      <c r="AH369">
        <v>0</v>
      </c>
      <c r="AI369">
        <v>60.53</v>
      </c>
      <c r="AL369" t="s">
        <v>6802</v>
      </c>
      <c r="AM369">
        <v>7560</v>
      </c>
    </row>
    <row r="370" spans="1:44">
      <c r="A370" s="1">
        <f>HYPERLINK("https://lsnyc.legalserver.org/matter/dynamic-profile/view/1912877","19-1912877")</f>
        <v>0</v>
      </c>
      <c r="B370" t="s">
        <v>108</v>
      </c>
      <c r="C370" t="s">
        <v>253</v>
      </c>
      <c r="E370" t="s">
        <v>423</v>
      </c>
      <c r="F370" t="s">
        <v>1530</v>
      </c>
      <c r="G370" t="s">
        <v>2458</v>
      </c>
      <c r="H370" t="s">
        <v>3246</v>
      </c>
      <c r="I370" t="s">
        <v>3488</v>
      </c>
      <c r="J370">
        <v>11358</v>
      </c>
      <c r="K370" t="s">
        <v>3522</v>
      </c>
      <c r="L370" t="s">
        <v>3526</v>
      </c>
      <c r="N370" t="s">
        <v>4113</v>
      </c>
      <c r="O370" t="s">
        <v>4135</v>
      </c>
      <c r="Q370" t="s">
        <v>4147</v>
      </c>
      <c r="R370" t="s">
        <v>3523</v>
      </c>
      <c r="T370" t="s">
        <v>4156</v>
      </c>
      <c r="U370" t="s">
        <v>4168</v>
      </c>
      <c r="V370" t="s">
        <v>4174</v>
      </c>
      <c r="W370">
        <v>1483</v>
      </c>
      <c r="X370" t="s">
        <v>4192</v>
      </c>
      <c r="Y370" t="s">
        <v>4212</v>
      </c>
      <c r="Z370" t="s">
        <v>4540</v>
      </c>
      <c r="AB370" t="s">
        <v>5923</v>
      </c>
      <c r="AC370">
        <v>4</v>
      </c>
      <c r="AD370" t="s">
        <v>6772</v>
      </c>
      <c r="AE370" t="s">
        <v>3526</v>
      </c>
      <c r="AF370">
        <v>11</v>
      </c>
      <c r="AG370">
        <v>2</v>
      </c>
      <c r="AH370">
        <v>2</v>
      </c>
      <c r="AI370">
        <v>60.58</v>
      </c>
      <c r="AL370" t="s">
        <v>6801</v>
      </c>
      <c r="AM370">
        <v>15600</v>
      </c>
    </row>
    <row r="371" spans="1:44">
      <c r="A371" s="1">
        <f>HYPERLINK("https://lsnyc.legalserver.org/matter/dynamic-profile/view/1913341","19-1913341")</f>
        <v>0</v>
      </c>
      <c r="B371" t="s">
        <v>61</v>
      </c>
      <c r="C371" t="s">
        <v>192</v>
      </c>
      <c r="E371" t="s">
        <v>667</v>
      </c>
      <c r="F371" t="s">
        <v>1531</v>
      </c>
      <c r="G371" t="s">
        <v>2459</v>
      </c>
      <c r="H371">
        <v>2</v>
      </c>
      <c r="I371" t="s">
        <v>3490</v>
      </c>
      <c r="J371">
        <v>11233</v>
      </c>
      <c r="K371" t="s">
        <v>3522</v>
      </c>
      <c r="L371" t="s">
        <v>3525</v>
      </c>
      <c r="M371" t="s">
        <v>3702</v>
      </c>
      <c r="N371" t="s">
        <v>4107</v>
      </c>
      <c r="O371" t="s">
        <v>4132</v>
      </c>
      <c r="Q371" t="s">
        <v>4147</v>
      </c>
      <c r="R371" t="s">
        <v>3523</v>
      </c>
      <c r="T371" t="s">
        <v>4156</v>
      </c>
      <c r="V371" t="s">
        <v>219</v>
      </c>
      <c r="W371">
        <v>1900</v>
      </c>
      <c r="X371" t="s">
        <v>4193</v>
      </c>
      <c r="Y371" t="s">
        <v>4201</v>
      </c>
      <c r="Z371" t="s">
        <v>4541</v>
      </c>
      <c r="AB371" t="s">
        <v>5924</v>
      </c>
      <c r="AC371">
        <v>3</v>
      </c>
      <c r="AD371" t="s">
        <v>6771</v>
      </c>
      <c r="AE371" t="s">
        <v>4200</v>
      </c>
      <c r="AF371">
        <v>1</v>
      </c>
      <c r="AG371">
        <v>2</v>
      </c>
      <c r="AH371">
        <v>0</v>
      </c>
      <c r="AI371">
        <v>60.82</v>
      </c>
      <c r="AL371" t="s">
        <v>6801</v>
      </c>
      <c r="AM371">
        <v>10284</v>
      </c>
    </row>
    <row r="372" spans="1:44">
      <c r="A372" s="1">
        <f>HYPERLINK("https://lsnyc.legalserver.org/matter/dynamic-profile/view/1904678","19-1904678")</f>
        <v>0</v>
      </c>
      <c r="B372" t="s">
        <v>114</v>
      </c>
      <c r="C372" t="s">
        <v>246</v>
      </c>
      <c r="D372" t="s">
        <v>213</v>
      </c>
      <c r="E372" t="s">
        <v>494</v>
      </c>
      <c r="F372" t="s">
        <v>1532</v>
      </c>
      <c r="G372" t="s">
        <v>2460</v>
      </c>
      <c r="H372" t="s">
        <v>3259</v>
      </c>
      <c r="I372" t="s">
        <v>3493</v>
      </c>
      <c r="J372">
        <v>10463</v>
      </c>
      <c r="K372" t="s">
        <v>3522</v>
      </c>
      <c r="L372" t="s">
        <v>3527</v>
      </c>
      <c r="M372" t="s">
        <v>3703</v>
      </c>
      <c r="N372" t="s">
        <v>4109</v>
      </c>
      <c r="O372" t="s">
        <v>4133</v>
      </c>
      <c r="P372" t="s">
        <v>4141</v>
      </c>
      <c r="Q372" t="s">
        <v>4147</v>
      </c>
      <c r="R372" t="s">
        <v>3523</v>
      </c>
      <c r="T372" t="s">
        <v>4156</v>
      </c>
      <c r="V372" t="s">
        <v>246</v>
      </c>
      <c r="W372">
        <v>1133</v>
      </c>
      <c r="X372" t="s">
        <v>4196</v>
      </c>
      <c r="Y372" t="s">
        <v>4200</v>
      </c>
      <c r="Z372" t="s">
        <v>4542</v>
      </c>
      <c r="AA372" t="s">
        <v>5560</v>
      </c>
      <c r="AB372" t="s">
        <v>5925</v>
      </c>
      <c r="AC372">
        <v>84</v>
      </c>
      <c r="AD372" t="s">
        <v>6772</v>
      </c>
      <c r="AE372" t="s">
        <v>3526</v>
      </c>
      <c r="AF372">
        <v>5</v>
      </c>
      <c r="AG372">
        <v>1</v>
      </c>
      <c r="AH372">
        <v>1</v>
      </c>
      <c r="AI372">
        <v>60.86</v>
      </c>
      <c r="AL372" t="s">
        <v>6802</v>
      </c>
      <c r="AM372">
        <v>10292.04</v>
      </c>
    </row>
    <row r="373" spans="1:44">
      <c r="A373" s="1">
        <f>HYPERLINK("https://lsnyc.legalserver.org/matter/dynamic-profile/view/1917061","19-1917061")</f>
        <v>0</v>
      </c>
      <c r="B373" t="s">
        <v>67</v>
      </c>
      <c r="C373" t="s">
        <v>243</v>
      </c>
      <c r="E373" t="s">
        <v>668</v>
      </c>
      <c r="F373" t="s">
        <v>1533</v>
      </c>
      <c r="G373" t="s">
        <v>2212</v>
      </c>
      <c r="H373">
        <v>5</v>
      </c>
      <c r="I373" t="s">
        <v>3490</v>
      </c>
      <c r="J373">
        <v>11213</v>
      </c>
      <c r="K373" t="s">
        <v>3522</v>
      </c>
      <c r="L373" t="s">
        <v>3525</v>
      </c>
      <c r="M373" t="s">
        <v>3609</v>
      </c>
      <c r="N373" t="s">
        <v>4115</v>
      </c>
      <c r="O373" t="s">
        <v>4134</v>
      </c>
      <c r="Q373" t="s">
        <v>4147</v>
      </c>
      <c r="R373" t="s">
        <v>3522</v>
      </c>
      <c r="T373" t="s">
        <v>4156</v>
      </c>
      <c r="V373" t="s">
        <v>260</v>
      </c>
      <c r="W373">
        <v>848</v>
      </c>
      <c r="X373" t="s">
        <v>4193</v>
      </c>
      <c r="Y373" t="s">
        <v>4198</v>
      </c>
      <c r="Z373" t="s">
        <v>4543</v>
      </c>
      <c r="AA373" t="s">
        <v>3526</v>
      </c>
      <c r="AB373" t="s">
        <v>5926</v>
      </c>
      <c r="AC373">
        <v>31</v>
      </c>
      <c r="AD373" t="s">
        <v>6772</v>
      </c>
      <c r="AE373" t="s">
        <v>6791</v>
      </c>
      <c r="AF373">
        <v>10</v>
      </c>
      <c r="AG373">
        <v>2</v>
      </c>
      <c r="AH373">
        <v>1</v>
      </c>
      <c r="AI373">
        <v>60.95</v>
      </c>
      <c r="AL373" t="s">
        <v>6801</v>
      </c>
      <c r="AM373">
        <v>13000</v>
      </c>
      <c r="AN373" t="s">
        <v>6842</v>
      </c>
    </row>
    <row r="374" spans="1:44">
      <c r="A374" s="1">
        <f>HYPERLINK("https://lsnyc.legalserver.org/matter/dynamic-profile/view/1917065","19-1917065")</f>
        <v>0</v>
      </c>
      <c r="B374" t="s">
        <v>67</v>
      </c>
      <c r="C374" t="s">
        <v>243</v>
      </c>
      <c r="E374" t="s">
        <v>668</v>
      </c>
      <c r="F374" t="s">
        <v>1533</v>
      </c>
      <c r="G374" t="s">
        <v>2212</v>
      </c>
      <c r="H374">
        <v>5</v>
      </c>
      <c r="I374" t="s">
        <v>3490</v>
      </c>
      <c r="J374">
        <v>11213</v>
      </c>
      <c r="K374" t="s">
        <v>3522</v>
      </c>
      <c r="L374" t="s">
        <v>3525</v>
      </c>
      <c r="M374" t="s">
        <v>3609</v>
      </c>
      <c r="N374" t="s">
        <v>4110</v>
      </c>
      <c r="O374" t="s">
        <v>4134</v>
      </c>
      <c r="Q374" t="s">
        <v>4147</v>
      </c>
      <c r="R374" t="s">
        <v>3522</v>
      </c>
      <c r="T374" t="s">
        <v>4156</v>
      </c>
      <c r="V374" t="s">
        <v>260</v>
      </c>
      <c r="W374">
        <v>848</v>
      </c>
      <c r="X374" t="s">
        <v>4193</v>
      </c>
      <c r="Y374" t="s">
        <v>4198</v>
      </c>
      <c r="Z374" t="s">
        <v>4543</v>
      </c>
      <c r="AA374" t="s">
        <v>3526</v>
      </c>
      <c r="AB374" t="s">
        <v>5926</v>
      </c>
      <c r="AC374">
        <v>31</v>
      </c>
      <c r="AD374" t="s">
        <v>6772</v>
      </c>
      <c r="AE374" t="s">
        <v>6791</v>
      </c>
      <c r="AF374">
        <v>10</v>
      </c>
      <c r="AG374">
        <v>2</v>
      </c>
      <c r="AH374">
        <v>1</v>
      </c>
      <c r="AI374">
        <v>60.95</v>
      </c>
      <c r="AL374" t="s">
        <v>6801</v>
      </c>
      <c r="AM374">
        <v>13000</v>
      </c>
      <c r="AN374" t="s">
        <v>6843</v>
      </c>
    </row>
    <row r="375" spans="1:44">
      <c r="A375" s="1">
        <f>HYPERLINK("https://lsnyc.legalserver.org/matter/dynamic-profile/view/1917071","19-1917071")</f>
        <v>0</v>
      </c>
      <c r="B375" t="s">
        <v>67</v>
      </c>
      <c r="C375" t="s">
        <v>243</v>
      </c>
      <c r="E375" t="s">
        <v>668</v>
      </c>
      <c r="F375" t="s">
        <v>1533</v>
      </c>
      <c r="G375" t="s">
        <v>2212</v>
      </c>
      <c r="H375">
        <v>5</v>
      </c>
      <c r="I375" t="s">
        <v>3490</v>
      </c>
      <c r="J375">
        <v>11213</v>
      </c>
      <c r="K375" t="s">
        <v>3522</v>
      </c>
      <c r="L375" t="s">
        <v>3525</v>
      </c>
      <c r="M375" t="s">
        <v>3609</v>
      </c>
      <c r="N375" t="s">
        <v>4110</v>
      </c>
      <c r="O375" t="s">
        <v>4134</v>
      </c>
      <c r="Q375" t="s">
        <v>4147</v>
      </c>
      <c r="R375" t="s">
        <v>3522</v>
      </c>
      <c r="T375" t="s">
        <v>4156</v>
      </c>
      <c r="V375" t="s">
        <v>260</v>
      </c>
      <c r="W375">
        <v>848</v>
      </c>
      <c r="X375" t="s">
        <v>4193</v>
      </c>
      <c r="Y375" t="s">
        <v>4198</v>
      </c>
      <c r="Z375" t="s">
        <v>4543</v>
      </c>
      <c r="AA375" t="s">
        <v>3526</v>
      </c>
      <c r="AB375" t="s">
        <v>5926</v>
      </c>
      <c r="AC375">
        <v>31</v>
      </c>
      <c r="AD375" t="s">
        <v>6772</v>
      </c>
      <c r="AE375" t="s">
        <v>6791</v>
      </c>
      <c r="AF375">
        <v>10</v>
      </c>
      <c r="AG375">
        <v>2</v>
      </c>
      <c r="AH375">
        <v>1</v>
      </c>
      <c r="AI375">
        <v>60.95</v>
      </c>
      <c r="AL375" t="s">
        <v>6801</v>
      </c>
      <c r="AM375">
        <v>13000</v>
      </c>
      <c r="AN375" t="s">
        <v>6844</v>
      </c>
    </row>
    <row r="376" spans="1:44">
      <c r="A376" s="1">
        <f>HYPERLINK("https://lsnyc.legalserver.org/matter/dynamic-profile/view/1907560","19-1907560")</f>
        <v>0</v>
      </c>
      <c r="B376" t="s">
        <v>106</v>
      </c>
      <c r="C376" t="s">
        <v>239</v>
      </c>
      <c r="D376" t="s">
        <v>200</v>
      </c>
      <c r="E376" t="s">
        <v>669</v>
      </c>
      <c r="F376" t="s">
        <v>1301</v>
      </c>
      <c r="G376" t="s">
        <v>2461</v>
      </c>
      <c r="H376" t="s">
        <v>3179</v>
      </c>
      <c r="I376" t="s">
        <v>3493</v>
      </c>
      <c r="J376">
        <v>10460</v>
      </c>
      <c r="K376" t="s">
        <v>3522</v>
      </c>
      <c r="L376" t="s">
        <v>3525</v>
      </c>
      <c r="M376" t="s">
        <v>3704</v>
      </c>
      <c r="N376" t="s">
        <v>4109</v>
      </c>
      <c r="O376" t="s">
        <v>4132</v>
      </c>
      <c r="P376" t="s">
        <v>4139</v>
      </c>
      <c r="Q376" t="s">
        <v>4147</v>
      </c>
      <c r="R376" t="s">
        <v>3523</v>
      </c>
      <c r="T376" t="s">
        <v>4159</v>
      </c>
      <c r="V376" t="s">
        <v>265</v>
      </c>
      <c r="W376">
        <v>1600</v>
      </c>
      <c r="X376" t="s">
        <v>4194</v>
      </c>
      <c r="Z376" t="s">
        <v>4544</v>
      </c>
      <c r="AB376" t="s">
        <v>5927</v>
      </c>
      <c r="AC376">
        <v>297</v>
      </c>
      <c r="AE376" t="s">
        <v>6786</v>
      </c>
      <c r="AF376">
        <v>3</v>
      </c>
      <c r="AG376">
        <v>2</v>
      </c>
      <c r="AH376">
        <v>0</v>
      </c>
      <c r="AI376">
        <v>61.45</v>
      </c>
      <c r="AL376" t="s">
        <v>6801</v>
      </c>
      <c r="AM376">
        <v>10392</v>
      </c>
    </row>
    <row r="377" spans="1:44">
      <c r="A377" s="1">
        <f>HYPERLINK("https://lsnyc.legalserver.org/matter/dynamic-profile/view/1906741","19-1906741")</f>
        <v>0</v>
      </c>
      <c r="B377" t="s">
        <v>104</v>
      </c>
      <c r="C377" t="s">
        <v>235</v>
      </c>
      <c r="E377" t="s">
        <v>560</v>
      </c>
      <c r="F377" t="s">
        <v>1521</v>
      </c>
      <c r="G377" t="s">
        <v>2462</v>
      </c>
      <c r="H377" t="s">
        <v>3246</v>
      </c>
      <c r="I377" t="s">
        <v>3493</v>
      </c>
      <c r="J377">
        <v>10455</v>
      </c>
      <c r="K377" t="s">
        <v>3522</v>
      </c>
      <c r="L377" t="s">
        <v>3525</v>
      </c>
      <c r="M377" t="s">
        <v>3705</v>
      </c>
      <c r="N377" t="s">
        <v>4108</v>
      </c>
      <c r="O377" t="s">
        <v>4134</v>
      </c>
      <c r="Q377" t="s">
        <v>4147</v>
      </c>
      <c r="R377" t="s">
        <v>3523</v>
      </c>
      <c r="T377" t="s">
        <v>4156</v>
      </c>
      <c r="U377" t="s">
        <v>4170</v>
      </c>
      <c r="V377" t="s">
        <v>239</v>
      </c>
      <c r="W377">
        <v>347</v>
      </c>
      <c r="X377" t="s">
        <v>4194</v>
      </c>
      <c r="Y377" t="s">
        <v>4204</v>
      </c>
      <c r="Z377" t="s">
        <v>4545</v>
      </c>
      <c r="AB377" t="s">
        <v>5928</v>
      </c>
      <c r="AC377">
        <v>45</v>
      </c>
      <c r="AD377" t="s">
        <v>6778</v>
      </c>
      <c r="AE377" t="s">
        <v>3526</v>
      </c>
      <c r="AF377">
        <v>16</v>
      </c>
      <c r="AG377">
        <v>2</v>
      </c>
      <c r="AH377">
        <v>0</v>
      </c>
      <c r="AI377">
        <v>61.5</v>
      </c>
      <c r="AL377" t="s">
        <v>6801</v>
      </c>
      <c r="AM377">
        <v>10400</v>
      </c>
      <c r="AP377" t="s">
        <v>4200</v>
      </c>
      <c r="AQ377" t="s">
        <v>6945</v>
      </c>
      <c r="AR377" t="s">
        <v>6970</v>
      </c>
    </row>
    <row r="378" spans="1:44">
      <c r="A378" s="1">
        <f>HYPERLINK("https://lsnyc.legalserver.org/matter/dynamic-profile/view/1908444","19-1908444")</f>
        <v>0</v>
      </c>
      <c r="B378" t="s">
        <v>72</v>
      </c>
      <c r="C378" t="s">
        <v>303</v>
      </c>
      <c r="E378" t="s">
        <v>442</v>
      </c>
      <c r="F378" t="s">
        <v>1534</v>
      </c>
      <c r="G378" t="s">
        <v>2463</v>
      </c>
      <c r="H378">
        <v>201</v>
      </c>
      <c r="I378" t="s">
        <v>3495</v>
      </c>
      <c r="J378">
        <v>10025</v>
      </c>
      <c r="K378" t="s">
        <v>3522</v>
      </c>
      <c r="L378" t="s">
        <v>3527</v>
      </c>
      <c r="M378" t="s">
        <v>3562</v>
      </c>
      <c r="N378" t="s">
        <v>4112</v>
      </c>
      <c r="O378" t="s">
        <v>4133</v>
      </c>
      <c r="Q378" t="s">
        <v>4147</v>
      </c>
      <c r="R378" t="s">
        <v>3523</v>
      </c>
      <c r="T378" t="s">
        <v>4156</v>
      </c>
      <c r="U378" t="s">
        <v>4168</v>
      </c>
      <c r="V378" t="s">
        <v>303</v>
      </c>
      <c r="W378">
        <v>900</v>
      </c>
      <c r="X378" t="s">
        <v>4193</v>
      </c>
      <c r="Y378" t="s">
        <v>4201</v>
      </c>
      <c r="Z378" t="s">
        <v>4546</v>
      </c>
      <c r="AA378">
        <v>10154731</v>
      </c>
      <c r="AB378" t="s">
        <v>5929</v>
      </c>
      <c r="AC378">
        <v>10</v>
      </c>
      <c r="AD378" t="s">
        <v>6772</v>
      </c>
      <c r="AE378" t="s">
        <v>6787</v>
      </c>
      <c r="AF378">
        <v>0</v>
      </c>
      <c r="AG378">
        <v>2</v>
      </c>
      <c r="AH378">
        <v>0</v>
      </c>
      <c r="AI378">
        <v>61.5</v>
      </c>
      <c r="AL378" t="s">
        <v>6801</v>
      </c>
      <c r="AM378">
        <v>10400</v>
      </c>
      <c r="AN378" t="s">
        <v>6845</v>
      </c>
    </row>
    <row r="379" spans="1:44">
      <c r="A379" s="1">
        <f>HYPERLINK("https://lsnyc.legalserver.org/matter/dynamic-profile/view/1915330","19-1915330")</f>
        <v>0</v>
      </c>
      <c r="B379" t="s">
        <v>124</v>
      </c>
      <c r="C379" t="s">
        <v>204</v>
      </c>
      <c r="D379" t="s">
        <v>260</v>
      </c>
      <c r="E379" t="s">
        <v>414</v>
      </c>
      <c r="F379" t="s">
        <v>1535</v>
      </c>
      <c r="G379" t="s">
        <v>2464</v>
      </c>
      <c r="H379" t="s">
        <v>3260</v>
      </c>
      <c r="I379" t="s">
        <v>3493</v>
      </c>
      <c r="J379">
        <v>10452</v>
      </c>
      <c r="K379" t="s">
        <v>3522</v>
      </c>
      <c r="L379" t="s">
        <v>3525</v>
      </c>
      <c r="O379" t="s">
        <v>4135</v>
      </c>
      <c r="P379" t="s">
        <v>4142</v>
      </c>
      <c r="Q379" t="s">
        <v>4147</v>
      </c>
      <c r="T379" t="s">
        <v>4156</v>
      </c>
      <c r="V379" t="s">
        <v>260</v>
      </c>
      <c r="W379">
        <v>0</v>
      </c>
      <c r="X379" t="s">
        <v>4194</v>
      </c>
      <c r="Z379" t="s">
        <v>4547</v>
      </c>
      <c r="AB379" t="s">
        <v>5930</v>
      </c>
      <c r="AC379">
        <v>0</v>
      </c>
      <c r="AE379" t="s">
        <v>6791</v>
      </c>
      <c r="AF379">
        <v>0</v>
      </c>
      <c r="AG379">
        <v>2</v>
      </c>
      <c r="AH379">
        <v>0</v>
      </c>
      <c r="AI379">
        <v>61.74</v>
      </c>
      <c r="AK379" t="s">
        <v>6799</v>
      </c>
      <c r="AL379" t="s">
        <v>6802</v>
      </c>
      <c r="AM379">
        <v>10440</v>
      </c>
    </row>
    <row r="380" spans="1:44">
      <c r="A380" s="1">
        <f>HYPERLINK("https://lsnyc.legalserver.org/matter/dynamic-profile/view/1908938","19-1908938")</f>
        <v>0</v>
      </c>
      <c r="B380" t="s">
        <v>65</v>
      </c>
      <c r="C380" t="s">
        <v>304</v>
      </c>
      <c r="E380" t="s">
        <v>582</v>
      </c>
      <c r="F380" t="s">
        <v>1536</v>
      </c>
      <c r="G380" t="s">
        <v>2204</v>
      </c>
      <c r="H380" t="s">
        <v>3221</v>
      </c>
      <c r="I380" t="s">
        <v>3490</v>
      </c>
      <c r="J380">
        <v>11225</v>
      </c>
      <c r="K380" t="s">
        <v>3522</v>
      </c>
      <c r="N380" t="s">
        <v>4112</v>
      </c>
      <c r="O380" t="s">
        <v>4137</v>
      </c>
      <c r="Q380" t="s">
        <v>4147</v>
      </c>
      <c r="R380" t="s">
        <v>3523</v>
      </c>
      <c r="T380" t="s">
        <v>4156</v>
      </c>
      <c r="V380" t="s">
        <v>304</v>
      </c>
      <c r="W380">
        <v>600</v>
      </c>
      <c r="X380" t="s">
        <v>4193</v>
      </c>
      <c r="Z380" t="s">
        <v>4548</v>
      </c>
      <c r="AB380" t="s">
        <v>5931</v>
      </c>
      <c r="AC380">
        <v>46</v>
      </c>
      <c r="AF380">
        <v>20</v>
      </c>
      <c r="AG380">
        <v>2</v>
      </c>
      <c r="AH380">
        <v>0</v>
      </c>
      <c r="AI380">
        <v>61.81</v>
      </c>
      <c r="AL380" t="s">
        <v>6801</v>
      </c>
      <c r="AM380">
        <v>10452</v>
      </c>
    </row>
    <row r="381" spans="1:44">
      <c r="A381" s="1">
        <f>HYPERLINK("https://lsnyc.legalserver.org/matter/dynamic-profile/view/1913315","19-1913315")</f>
        <v>0</v>
      </c>
      <c r="B381" t="s">
        <v>46</v>
      </c>
      <c r="C381" t="s">
        <v>192</v>
      </c>
      <c r="E381" t="s">
        <v>670</v>
      </c>
      <c r="F381" t="s">
        <v>1283</v>
      </c>
      <c r="G381" t="s">
        <v>2465</v>
      </c>
      <c r="I381" t="s">
        <v>3484</v>
      </c>
      <c r="J381">
        <v>11412</v>
      </c>
      <c r="K381" t="s">
        <v>3522</v>
      </c>
      <c r="L381" t="s">
        <v>3525</v>
      </c>
      <c r="M381" t="s">
        <v>3706</v>
      </c>
      <c r="N381" t="s">
        <v>4107</v>
      </c>
      <c r="O381" t="s">
        <v>4132</v>
      </c>
      <c r="Q381" t="s">
        <v>4147</v>
      </c>
      <c r="R381" t="s">
        <v>3523</v>
      </c>
      <c r="T381" t="s">
        <v>4156</v>
      </c>
      <c r="U381" t="s">
        <v>4168</v>
      </c>
      <c r="V381" t="s">
        <v>381</v>
      </c>
      <c r="W381">
        <v>900</v>
      </c>
      <c r="X381" t="s">
        <v>4192</v>
      </c>
      <c r="Y381" t="s">
        <v>4197</v>
      </c>
      <c r="Z381" t="s">
        <v>4549</v>
      </c>
      <c r="AA381" t="s">
        <v>5561</v>
      </c>
      <c r="AB381" t="s">
        <v>5932</v>
      </c>
      <c r="AC381">
        <v>1</v>
      </c>
      <c r="AD381" t="s">
        <v>6771</v>
      </c>
      <c r="AE381" t="s">
        <v>3526</v>
      </c>
      <c r="AF381">
        <v>8</v>
      </c>
      <c r="AG381">
        <v>1</v>
      </c>
      <c r="AH381">
        <v>1</v>
      </c>
      <c r="AI381">
        <v>62.09</v>
      </c>
      <c r="AL381" t="s">
        <v>6801</v>
      </c>
      <c r="AM381">
        <v>10500</v>
      </c>
    </row>
    <row r="382" spans="1:44">
      <c r="A382" s="1">
        <f>HYPERLINK("https://lsnyc.legalserver.org/matter/dynamic-profile/view/1911766","19-1911766")</f>
        <v>0</v>
      </c>
      <c r="B382" t="s">
        <v>82</v>
      </c>
      <c r="C382" t="s">
        <v>194</v>
      </c>
      <c r="D382" t="s">
        <v>178</v>
      </c>
      <c r="E382" t="s">
        <v>671</v>
      </c>
      <c r="F382" t="s">
        <v>1537</v>
      </c>
      <c r="G382" t="s">
        <v>2466</v>
      </c>
      <c r="H382">
        <v>2</v>
      </c>
      <c r="I382" t="s">
        <v>3493</v>
      </c>
      <c r="J382">
        <v>10456</v>
      </c>
      <c r="K382" t="s">
        <v>3522</v>
      </c>
      <c r="L382" t="s">
        <v>3525</v>
      </c>
      <c r="N382" t="s">
        <v>4119</v>
      </c>
      <c r="O382" t="s">
        <v>4132</v>
      </c>
      <c r="P382" t="s">
        <v>4139</v>
      </c>
      <c r="Q382" t="s">
        <v>4147</v>
      </c>
      <c r="R382" t="s">
        <v>3523</v>
      </c>
      <c r="T382" t="s">
        <v>4156</v>
      </c>
      <c r="U382" t="s">
        <v>4168</v>
      </c>
      <c r="V382" t="s">
        <v>295</v>
      </c>
      <c r="W382">
        <v>1600</v>
      </c>
      <c r="X382" t="s">
        <v>4194</v>
      </c>
      <c r="Y382" t="s">
        <v>4206</v>
      </c>
      <c r="Z382" t="s">
        <v>4550</v>
      </c>
      <c r="AB382" t="s">
        <v>5933</v>
      </c>
      <c r="AC382">
        <v>2</v>
      </c>
      <c r="AD382" t="s">
        <v>6782</v>
      </c>
      <c r="AE382" t="s">
        <v>6786</v>
      </c>
      <c r="AF382">
        <v>14</v>
      </c>
      <c r="AG382">
        <v>3</v>
      </c>
      <c r="AH382">
        <v>1</v>
      </c>
      <c r="AI382">
        <v>62.14</v>
      </c>
      <c r="AL382" t="s">
        <v>6802</v>
      </c>
      <c r="AM382">
        <v>16000</v>
      </c>
    </row>
    <row r="383" spans="1:44">
      <c r="A383" s="1">
        <f>HYPERLINK("https://lsnyc.legalserver.org/matter/dynamic-profile/view/1873655","18-1873655")</f>
        <v>0</v>
      </c>
      <c r="B383" t="s">
        <v>122</v>
      </c>
      <c r="C383" t="s">
        <v>305</v>
      </c>
      <c r="D383" t="s">
        <v>223</v>
      </c>
      <c r="E383" t="s">
        <v>559</v>
      </c>
      <c r="F383" t="s">
        <v>1538</v>
      </c>
      <c r="G383" t="s">
        <v>2467</v>
      </c>
      <c r="H383" t="s">
        <v>3261</v>
      </c>
      <c r="I383" t="s">
        <v>3479</v>
      </c>
      <c r="J383">
        <v>11691</v>
      </c>
      <c r="K383" t="s">
        <v>3522</v>
      </c>
      <c r="L383" t="s">
        <v>3525</v>
      </c>
      <c r="M383" t="s">
        <v>3707</v>
      </c>
      <c r="N383" t="s">
        <v>4107</v>
      </c>
      <c r="O383" t="s">
        <v>4132</v>
      </c>
      <c r="P383" t="s">
        <v>4139</v>
      </c>
      <c r="Q383" t="s">
        <v>4147</v>
      </c>
      <c r="R383" t="s">
        <v>3523</v>
      </c>
      <c r="T383" t="s">
        <v>4156</v>
      </c>
      <c r="U383" t="s">
        <v>4170</v>
      </c>
      <c r="V383" t="s">
        <v>4176</v>
      </c>
      <c r="W383">
        <v>1836</v>
      </c>
      <c r="X383" t="s">
        <v>4192</v>
      </c>
      <c r="Y383" t="s">
        <v>4215</v>
      </c>
      <c r="Z383" t="s">
        <v>4551</v>
      </c>
      <c r="AA383" t="s">
        <v>5562</v>
      </c>
      <c r="AB383" t="s">
        <v>5934</v>
      </c>
      <c r="AC383">
        <v>3</v>
      </c>
      <c r="AD383" t="s">
        <v>6771</v>
      </c>
      <c r="AE383" t="s">
        <v>6786</v>
      </c>
      <c r="AF383">
        <v>3</v>
      </c>
      <c r="AG383">
        <v>3</v>
      </c>
      <c r="AH383">
        <v>1</v>
      </c>
      <c r="AI383">
        <v>62.15</v>
      </c>
      <c r="AL383" t="s">
        <v>6801</v>
      </c>
      <c r="AM383">
        <v>15600</v>
      </c>
    </row>
    <row r="384" spans="1:44">
      <c r="A384" s="1">
        <f>HYPERLINK("https://lsnyc.legalserver.org/matter/dynamic-profile/view/1912649","19-1912649")</f>
        <v>0</v>
      </c>
      <c r="B384" t="s">
        <v>44</v>
      </c>
      <c r="C384" t="s">
        <v>178</v>
      </c>
      <c r="D384" t="s">
        <v>269</v>
      </c>
      <c r="E384" t="s">
        <v>672</v>
      </c>
      <c r="F384" t="s">
        <v>1539</v>
      </c>
      <c r="G384" t="s">
        <v>2468</v>
      </c>
      <c r="I384" t="s">
        <v>3507</v>
      </c>
      <c r="J384">
        <v>11413</v>
      </c>
      <c r="K384" t="s">
        <v>3522</v>
      </c>
      <c r="L384" t="s">
        <v>3525</v>
      </c>
      <c r="M384" t="s">
        <v>3708</v>
      </c>
      <c r="N384" t="s">
        <v>4107</v>
      </c>
      <c r="O384" t="s">
        <v>4132</v>
      </c>
      <c r="P384" t="s">
        <v>4139</v>
      </c>
      <c r="Q384" t="s">
        <v>4147</v>
      </c>
      <c r="R384" t="s">
        <v>3523</v>
      </c>
      <c r="T384" t="s">
        <v>4156</v>
      </c>
      <c r="U384" t="s">
        <v>4168</v>
      </c>
      <c r="V384" t="s">
        <v>253</v>
      </c>
      <c r="W384">
        <v>1800</v>
      </c>
      <c r="X384" t="s">
        <v>4192</v>
      </c>
      <c r="Y384" t="s">
        <v>4197</v>
      </c>
      <c r="Z384" t="s">
        <v>4552</v>
      </c>
      <c r="AB384" t="s">
        <v>5935</v>
      </c>
      <c r="AC384">
        <v>1</v>
      </c>
      <c r="AD384" t="s">
        <v>6771</v>
      </c>
      <c r="AE384" t="s">
        <v>3526</v>
      </c>
      <c r="AF384">
        <v>-1</v>
      </c>
      <c r="AG384">
        <v>1</v>
      </c>
      <c r="AH384">
        <v>0</v>
      </c>
      <c r="AI384">
        <v>62.45</v>
      </c>
      <c r="AL384" t="s">
        <v>6801</v>
      </c>
      <c r="AM384">
        <v>7800</v>
      </c>
    </row>
    <row r="385" spans="1:44">
      <c r="A385" s="1">
        <f>HYPERLINK("https://lsnyc.legalserver.org/matter/dynamic-profile/view/1910603","19-1910603")</f>
        <v>0</v>
      </c>
      <c r="B385" t="s">
        <v>77</v>
      </c>
      <c r="C385" t="s">
        <v>177</v>
      </c>
      <c r="D385" t="s">
        <v>269</v>
      </c>
      <c r="E385" t="s">
        <v>520</v>
      </c>
      <c r="F385" t="s">
        <v>1379</v>
      </c>
      <c r="G385" t="s">
        <v>2469</v>
      </c>
      <c r="H385" t="s">
        <v>3262</v>
      </c>
      <c r="I385" t="s">
        <v>3493</v>
      </c>
      <c r="J385">
        <v>10459</v>
      </c>
      <c r="K385" t="s">
        <v>3522</v>
      </c>
      <c r="L385" t="s">
        <v>3525</v>
      </c>
      <c r="N385" t="s">
        <v>3554</v>
      </c>
      <c r="O385" t="s">
        <v>4132</v>
      </c>
      <c r="P385" t="s">
        <v>4139</v>
      </c>
      <c r="Q385" t="s">
        <v>4147</v>
      </c>
      <c r="R385" t="s">
        <v>3523</v>
      </c>
      <c r="T385" t="s">
        <v>4156</v>
      </c>
      <c r="V385" t="s">
        <v>198</v>
      </c>
      <c r="W385">
        <v>678.54</v>
      </c>
      <c r="X385" t="s">
        <v>4194</v>
      </c>
      <c r="Z385" t="s">
        <v>4553</v>
      </c>
      <c r="AB385" t="s">
        <v>5936</v>
      </c>
      <c r="AC385">
        <v>0</v>
      </c>
      <c r="AD385" t="s">
        <v>6772</v>
      </c>
      <c r="AE385" t="s">
        <v>6791</v>
      </c>
      <c r="AF385">
        <v>35</v>
      </c>
      <c r="AG385">
        <v>1</v>
      </c>
      <c r="AH385">
        <v>0</v>
      </c>
      <c r="AI385">
        <v>62.45</v>
      </c>
      <c r="AL385" t="s">
        <v>6802</v>
      </c>
      <c r="AM385">
        <v>7800</v>
      </c>
    </row>
    <row r="386" spans="1:44">
      <c r="A386" s="1">
        <f>HYPERLINK("https://lsnyc.legalserver.org/matter/dynamic-profile/view/1908665","19-1908665")</f>
        <v>0</v>
      </c>
      <c r="B386" t="s">
        <v>46</v>
      </c>
      <c r="C386" t="s">
        <v>205</v>
      </c>
      <c r="D386" t="s">
        <v>231</v>
      </c>
      <c r="E386" t="s">
        <v>673</v>
      </c>
      <c r="F386" t="s">
        <v>1447</v>
      </c>
      <c r="G386" t="s">
        <v>2470</v>
      </c>
      <c r="H386">
        <v>2</v>
      </c>
      <c r="I386" t="s">
        <v>3508</v>
      </c>
      <c r="J386">
        <v>11693</v>
      </c>
      <c r="K386" t="s">
        <v>3522</v>
      </c>
      <c r="L386" t="s">
        <v>3525</v>
      </c>
      <c r="M386" t="s">
        <v>3709</v>
      </c>
      <c r="N386" t="s">
        <v>4107</v>
      </c>
      <c r="O386" t="s">
        <v>4132</v>
      </c>
      <c r="P386" t="s">
        <v>4139</v>
      </c>
      <c r="Q386" t="s">
        <v>4148</v>
      </c>
      <c r="R386" t="s">
        <v>3523</v>
      </c>
      <c r="T386" t="s">
        <v>4156</v>
      </c>
      <c r="U386" t="s">
        <v>4167</v>
      </c>
      <c r="V386" t="s">
        <v>231</v>
      </c>
      <c r="W386">
        <v>240</v>
      </c>
      <c r="X386" t="s">
        <v>4192</v>
      </c>
      <c r="Y386" t="s">
        <v>4199</v>
      </c>
      <c r="Z386" t="s">
        <v>4554</v>
      </c>
      <c r="AA386" t="s">
        <v>5563</v>
      </c>
      <c r="AC386">
        <v>2</v>
      </c>
      <c r="AD386" t="s">
        <v>6771</v>
      </c>
      <c r="AE386" t="s">
        <v>6786</v>
      </c>
      <c r="AF386">
        <v>6</v>
      </c>
      <c r="AG386">
        <v>1</v>
      </c>
      <c r="AH386">
        <v>4</v>
      </c>
      <c r="AI386">
        <v>62.63</v>
      </c>
      <c r="AJ386" t="s">
        <v>6795</v>
      </c>
      <c r="AK386" t="s">
        <v>6798</v>
      </c>
      <c r="AL386" t="s">
        <v>6801</v>
      </c>
      <c r="AM386">
        <v>18896.54</v>
      </c>
    </row>
    <row r="387" spans="1:44">
      <c r="A387" s="1">
        <f>HYPERLINK("https://lsnyc.legalserver.org/matter/dynamic-profile/view/1910458","19-1910458")</f>
        <v>0</v>
      </c>
      <c r="B387" t="s">
        <v>88</v>
      </c>
      <c r="C387" t="s">
        <v>214</v>
      </c>
      <c r="D387" t="s">
        <v>248</v>
      </c>
      <c r="E387" t="s">
        <v>389</v>
      </c>
      <c r="F387" t="s">
        <v>1446</v>
      </c>
      <c r="G387" t="s">
        <v>2471</v>
      </c>
      <c r="H387" t="s">
        <v>3263</v>
      </c>
      <c r="I387" t="s">
        <v>3495</v>
      </c>
      <c r="J387">
        <v>10032</v>
      </c>
      <c r="K387" t="s">
        <v>3522</v>
      </c>
      <c r="L387" t="s">
        <v>3525</v>
      </c>
      <c r="N387" t="s">
        <v>4116</v>
      </c>
      <c r="O387" t="s">
        <v>4135</v>
      </c>
      <c r="P387" t="s">
        <v>4142</v>
      </c>
      <c r="Q387" t="s">
        <v>4147</v>
      </c>
      <c r="R387" t="s">
        <v>3523</v>
      </c>
      <c r="T387" t="s">
        <v>4156</v>
      </c>
      <c r="V387" t="s">
        <v>214</v>
      </c>
      <c r="W387">
        <v>1243</v>
      </c>
      <c r="X387" t="s">
        <v>4196</v>
      </c>
      <c r="Y387" t="s">
        <v>4205</v>
      </c>
      <c r="Z387" t="s">
        <v>4555</v>
      </c>
      <c r="AB387" t="s">
        <v>5937</v>
      </c>
      <c r="AC387">
        <v>41</v>
      </c>
      <c r="AD387" t="s">
        <v>6772</v>
      </c>
      <c r="AE387" t="s">
        <v>3526</v>
      </c>
      <c r="AF387">
        <v>23</v>
      </c>
      <c r="AG387">
        <v>2</v>
      </c>
      <c r="AH387">
        <v>0</v>
      </c>
      <c r="AI387">
        <v>62.95</v>
      </c>
      <c r="AL387" t="s">
        <v>6801</v>
      </c>
      <c r="AM387">
        <v>10644</v>
      </c>
    </row>
    <row r="388" spans="1:44">
      <c r="A388" s="1">
        <f>HYPERLINK("https://lsnyc.legalserver.org/matter/dynamic-profile/view/1911516","19-1911516")</f>
        <v>0</v>
      </c>
      <c r="B388" t="s">
        <v>90</v>
      </c>
      <c r="C388" t="s">
        <v>215</v>
      </c>
      <c r="E388" t="s">
        <v>521</v>
      </c>
      <c r="F388" t="s">
        <v>1446</v>
      </c>
      <c r="G388" t="s">
        <v>2454</v>
      </c>
      <c r="H388" t="s">
        <v>3178</v>
      </c>
      <c r="I388" t="s">
        <v>3495</v>
      </c>
      <c r="J388">
        <v>10040</v>
      </c>
      <c r="K388" t="s">
        <v>3522</v>
      </c>
      <c r="L388" t="s">
        <v>3525</v>
      </c>
      <c r="N388" t="s">
        <v>4115</v>
      </c>
      <c r="O388" t="s">
        <v>4134</v>
      </c>
      <c r="Q388" t="s">
        <v>4147</v>
      </c>
      <c r="R388" t="s">
        <v>3522</v>
      </c>
      <c r="T388" t="s">
        <v>4156</v>
      </c>
      <c r="V388" t="s">
        <v>215</v>
      </c>
      <c r="W388">
        <v>1134.04</v>
      </c>
      <c r="X388" t="s">
        <v>4196</v>
      </c>
      <c r="Y388" t="s">
        <v>4201</v>
      </c>
      <c r="Z388" t="s">
        <v>4536</v>
      </c>
      <c r="AA388" t="s">
        <v>5558</v>
      </c>
      <c r="AB388" t="s">
        <v>5919</v>
      </c>
      <c r="AC388">
        <v>44</v>
      </c>
      <c r="AD388" t="s">
        <v>6772</v>
      </c>
      <c r="AE388" t="s">
        <v>6786</v>
      </c>
      <c r="AF388">
        <v>36</v>
      </c>
      <c r="AG388">
        <v>1</v>
      </c>
      <c r="AH388">
        <v>0</v>
      </c>
      <c r="AI388">
        <v>63.51</v>
      </c>
      <c r="AL388" t="s">
        <v>6802</v>
      </c>
      <c r="AM388">
        <v>7932</v>
      </c>
    </row>
    <row r="389" spans="1:44">
      <c r="A389" s="1">
        <f>HYPERLINK("https://lsnyc.legalserver.org/matter/dynamic-profile/view/1912770","19-1912770")</f>
        <v>0</v>
      </c>
      <c r="B389" t="s">
        <v>94</v>
      </c>
      <c r="C389" t="s">
        <v>253</v>
      </c>
      <c r="E389" t="s">
        <v>674</v>
      </c>
      <c r="F389" t="s">
        <v>1540</v>
      </c>
      <c r="G389" t="s">
        <v>2472</v>
      </c>
      <c r="H389">
        <v>26</v>
      </c>
      <c r="I389" t="s">
        <v>3495</v>
      </c>
      <c r="J389">
        <v>10029</v>
      </c>
      <c r="K389" t="s">
        <v>3522</v>
      </c>
      <c r="L389" t="s">
        <v>3525</v>
      </c>
      <c r="M389" t="s">
        <v>3710</v>
      </c>
      <c r="N389" t="s">
        <v>4107</v>
      </c>
      <c r="O389" t="s">
        <v>4136</v>
      </c>
      <c r="Q389" t="s">
        <v>4147</v>
      </c>
      <c r="R389" t="s">
        <v>3523</v>
      </c>
      <c r="T389" t="s">
        <v>4156</v>
      </c>
      <c r="U389" t="s">
        <v>4168</v>
      </c>
      <c r="V389" t="s">
        <v>199</v>
      </c>
      <c r="W389">
        <v>1600</v>
      </c>
      <c r="X389" t="s">
        <v>4196</v>
      </c>
      <c r="Y389" t="s">
        <v>4203</v>
      </c>
      <c r="Z389" t="s">
        <v>4556</v>
      </c>
      <c r="AB389" t="s">
        <v>5938</v>
      </c>
      <c r="AC389">
        <v>36</v>
      </c>
      <c r="AD389" t="s">
        <v>6772</v>
      </c>
      <c r="AE389" t="s">
        <v>6786</v>
      </c>
      <c r="AF389">
        <v>10</v>
      </c>
      <c r="AG389">
        <v>1</v>
      </c>
      <c r="AH389">
        <v>3</v>
      </c>
      <c r="AI389">
        <v>63.52</v>
      </c>
      <c r="AL389" t="s">
        <v>6801</v>
      </c>
      <c r="AM389">
        <v>16356</v>
      </c>
    </row>
    <row r="390" spans="1:44">
      <c r="A390" s="1">
        <f>HYPERLINK("https://lsnyc.legalserver.org/matter/dynamic-profile/view/1913165","19-1913165")</f>
        <v>0</v>
      </c>
      <c r="B390" t="s">
        <v>46</v>
      </c>
      <c r="C390" t="s">
        <v>186</v>
      </c>
      <c r="E390" t="s">
        <v>675</v>
      </c>
      <c r="F390" t="s">
        <v>1541</v>
      </c>
      <c r="G390" t="s">
        <v>2473</v>
      </c>
      <c r="I390" t="s">
        <v>3509</v>
      </c>
      <c r="J390">
        <v>11378</v>
      </c>
      <c r="K390" t="s">
        <v>3522</v>
      </c>
      <c r="L390" t="s">
        <v>3525</v>
      </c>
      <c r="M390" t="s">
        <v>3711</v>
      </c>
      <c r="N390" t="s">
        <v>4107</v>
      </c>
      <c r="O390" t="s">
        <v>4135</v>
      </c>
      <c r="Q390" t="s">
        <v>4148</v>
      </c>
      <c r="R390" t="s">
        <v>3523</v>
      </c>
      <c r="T390" t="s">
        <v>4156</v>
      </c>
      <c r="U390" t="s">
        <v>4168</v>
      </c>
      <c r="V390" t="s">
        <v>186</v>
      </c>
      <c r="W390">
        <v>800</v>
      </c>
      <c r="X390" t="s">
        <v>4192</v>
      </c>
      <c r="Y390" t="s">
        <v>4199</v>
      </c>
      <c r="Z390" t="s">
        <v>4557</v>
      </c>
      <c r="AB390" t="s">
        <v>5939</v>
      </c>
      <c r="AC390">
        <v>3</v>
      </c>
      <c r="AD390" t="s">
        <v>6771</v>
      </c>
      <c r="AF390">
        <v>5</v>
      </c>
      <c r="AG390">
        <v>1</v>
      </c>
      <c r="AH390">
        <v>1</v>
      </c>
      <c r="AI390">
        <v>63.87</v>
      </c>
      <c r="AJ390" t="s">
        <v>6795</v>
      </c>
      <c r="AK390" t="s">
        <v>6798</v>
      </c>
      <c r="AL390" t="s">
        <v>6801</v>
      </c>
      <c r="AM390">
        <v>10800</v>
      </c>
    </row>
    <row r="391" spans="1:44">
      <c r="A391" s="1">
        <f>HYPERLINK("https://lsnyc.legalserver.org/matter/dynamic-profile/view/1890394","18-1890394")</f>
        <v>0</v>
      </c>
      <c r="B391" t="s">
        <v>96</v>
      </c>
      <c r="C391" t="s">
        <v>306</v>
      </c>
      <c r="E391" t="s">
        <v>676</v>
      </c>
      <c r="F391" t="s">
        <v>1542</v>
      </c>
      <c r="G391" t="s">
        <v>2474</v>
      </c>
      <c r="H391" t="s">
        <v>3155</v>
      </c>
      <c r="I391" t="s">
        <v>3493</v>
      </c>
      <c r="J391">
        <v>10453</v>
      </c>
      <c r="K391" t="s">
        <v>3522</v>
      </c>
      <c r="L391" t="s">
        <v>3525</v>
      </c>
      <c r="N391" t="s">
        <v>3554</v>
      </c>
      <c r="O391" t="s">
        <v>4133</v>
      </c>
      <c r="Q391" t="s">
        <v>4147</v>
      </c>
      <c r="R391" t="s">
        <v>3522</v>
      </c>
      <c r="T391" t="s">
        <v>4156</v>
      </c>
      <c r="V391" t="s">
        <v>242</v>
      </c>
      <c r="W391">
        <v>187</v>
      </c>
      <c r="X391" t="s">
        <v>4194</v>
      </c>
      <c r="Y391" t="s">
        <v>4206</v>
      </c>
      <c r="Z391" t="s">
        <v>4558</v>
      </c>
      <c r="AB391" t="s">
        <v>5940</v>
      </c>
      <c r="AC391">
        <v>44</v>
      </c>
      <c r="AD391" t="s">
        <v>6772</v>
      </c>
      <c r="AE391" t="s">
        <v>6786</v>
      </c>
      <c r="AF391">
        <v>25</v>
      </c>
      <c r="AG391">
        <v>1</v>
      </c>
      <c r="AH391">
        <v>0</v>
      </c>
      <c r="AI391">
        <v>63.95</v>
      </c>
      <c r="AL391" t="s">
        <v>6802</v>
      </c>
      <c r="AM391">
        <v>7764</v>
      </c>
    </row>
    <row r="392" spans="1:44">
      <c r="A392" s="1">
        <f>HYPERLINK("https://lsnyc.legalserver.org/matter/dynamic-profile/view/1912431","19-1912431")</f>
        <v>0</v>
      </c>
      <c r="B392" t="s">
        <v>45</v>
      </c>
      <c r="C392" t="s">
        <v>295</v>
      </c>
      <c r="E392" t="s">
        <v>677</v>
      </c>
      <c r="F392" t="s">
        <v>582</v>
      </c>
      <c r="G392" t="s">
        <v>2165</v>
      </c>
      <c r="H392" t="s">
        <v>3178</v>
      </c>
      <c r="I392" t="s">
        <v>3479</v>
      </c>
      <c r="J392">
        <v>11691</v>
      </c>
      <c r="K392" t="s">
        <v>3522</v>
      </c>
      <c r="L392" t="s">
        <v>3525</v>
      </c>
      <c r="M392" t="s">
        <v>3679</v>
      </c>
      <c r="N392" t="s">
        <v>4108</v>
      </c>
      <c r="O392" t="s">
        <v>4134</v>
      </c>
      <c r="Q392" t="s">
        <v>4147</v>
      </c>
      <c r="R392" t="s">
        <v>3522</v>
      </c>
      <c r="T392" t="s">
        <v>4156</v>
      </c>
      <c r="U392" t="s">
        <v>4168</v>
      </c>
      <c r="V392" t="s">
        <v>295</v>
      </c>
      <c r="W392">
        <v>637</v>
      </c>
      <c r="X392" t="s">
        <v>4192</v>
      </c>
      <c r="Y392" t="s">
        <v>4198</v>
      </c>
      <c r="Z392" t="s">
        <v>4559</v>
      </c>
      <c r="AB392" t="s">
        <v>5941</v>
      </c>
      <c r="AC392">
        <v>43</v>
      </c>
      <c r="AD392" t="s">
        <v>6772</v>
      </c>
      <c r="AE392" t="s">
        <v>3526</v>
      </c>
      <c r="AF392">
        <v>20</v>
      </c>
      <c r="AG392">
        <v>1</v>
      </c>
      <c r="AH392">
        <v>0</v>
      </c>
      <c r="AI392">
        <v>64.05</v>
      </c>
      <c r="AL392" t="s">
        <v>6801</v>
      </c>
      <c r="AM392">
        <v>8000</v>
      </c>
      <c r="AP392" t="s">
        <v>4200</v>
      </c>
    </row>
    <row r="393" spans="1:44">
      <c r="A393" s="1">
        <f>HYPERLINK("https://lsnyc.legalserver.org/matter/dynamic-profile/view/1912425","19-1912425")</f>
        <v>0</v>
      </c>
      <c r="B393" t="s">
        <v>45</v>
      </c>
      <c r="C393" t="s">
        <v>295</v>
      </c>
      <c r="E393" t="s">
        <v>677</v>
      </c>
      <c r="F393" t="s">
        <v>582</v>
      </c>
      <c r="G393" t="s">
        <v>2165</v>
      </c>
      <c r="H393" t="s">
        <v>3178</v>
      </c>
      <c r="I393" t="s">
        <v>3479</v>
      </c>
      <c r="J393">
        <v>11691</v>
      </c>
      <c r="K393" t="s">
        <v>3522</v>
      </c>
      <c r="L393" t="s">
        <v>3525</v>
      </c>
      <c r="M393" t="s">
        <v>3712</v>
      </c>
      <c r="N393" t="s">
        <v>4109</v>
      </c>
      <c r="O393" t="s">
        <v>4134</v>
      </c>
      <c r="Q393" t="s">
        <v>4147</v>
      </c>
      <c r="R393" t="s">
        <v>3522</v>
      </c>
      <c r="T393" t="s">
        <v>4156</v>
      </c>
      <c r="U393" t="s">
        <v>4168</v>
      </c>
      <c r="V393" t="s">
        <v>295</v>
      </c>
      <c r="W393">
        <v>637</v>
      </c>
      <c r="X393" t="s">
        <v>4192</v>
      </c>
      <c r="Y393" t="s">
        <v>4198</v>
      </c>
      <c r="Z393" t="s">
        <v>4559</v>
      </c>
      <c r="AB393" t="s">
        <v>5941</v>
      </c>
      <c r="AC393">
        <v>43</v>
      </c>
      <c r="AD393" t="s">
        <v>6772</v>
      </c>
      <c r="AE393" t="s">
        <v>3526</v>
      </c>
      <c r="AF393">
        <v>20</v>
      </c>
      <c r="AG393">
        <v>1</v>
      </c>
      <c r="AH393">
        <v>0</v>
      </c>
      <c r="AI393">
        <v>64.05</v>
      </c>
      <c r="AL393" t="s">
        <v>6801</v>
      </c>
      <c r="AM393">
        <v>8000</v>
      </c>
      <c r="AP393" t="s">
        <v>4200</v>
      </c>
    </row>
    <row r="394" spans="1:44">
      <c r="A394" s="1">
        <f>HYPERLINK("https://lsnyc.legalserver.org/matter/dynamic-profile/view/1904701","19-1904701")</f>
        <v>0</v>
      </c>
      <c r="B394" t="s">
        <v>92</v>
      </c>
      <c r="C394" t="s">
        <v>246</v>
      </c>
      <c r="E394" t="s">
        <v>678</v>
      </c>
      <c r="F394" t="s">
        <v>1379</v>
      </c>
      <c r="G394" t="s">
        <v>2255</v>
      </c>
      <c r="H394">
        <v>34</v>
      </c>
      <c r="I394" t="s">
        <v>3495</v>
      </c>
      <c r="J394">
        <v>10034</v>
      </c>
      <c r="K394" t="s">
        <v>3522</v>
      </c>
      <c r="L394" t="s">
        <v>3525</v>
      </c>
      <c r="O394" t="s">
        <v>4136</v>
      </c>
      <c r="Q394" t="s">
        <v>4147</v>
      </c>
      <c r="R394" t="s">
        <v>3522</v>
      </c>
      <c r="T394" t="s">
        <v>4156</v>
      </c>
      <c r="V394" t="s">
        <v>246</v>
      </c>
      <c r="W394">
        <v>812.02</v>
      </c>
      <c r="X394" t="s">
        <v>4196</v>
      </c>
      <c r="Y394" t="s">
        <v>4205</v>
      </c>
      <c r="Z394" t="s">
        <v>4560</v>
      </c>
      <c r="AB394" t="s">
        <v>5942</v>
      </c>
      <c r="AC394">
        <v>25</v>
      </c>
      <c r="AD394" t="s">
        <v>6772</v>
      </c>
      <c r="AE394" t="s">
        <v>6791</v>
      </c>
      <c r="AF394">
        <v>38</v>
      </c>
      <c r="AG394">
        <v>1</v>
      </c>
      <c r="AH394">
        <v>0</v>
      </c>
      <c r="AI394">
        <v>64.05</v>
      </c>
      <c r="AL394" t="s">
        <v>6801</v>
      </c>
      <c r="AM394">
        <v>8000</v>
      </c>
    </row>
    <row r="395" spans="1:44">
      <c r="A395" s="1">
        <f>HYPERLINK("https://lsnyc.legalserver.org/matter/dynamic-profile/view/1909040","19-1909040")</f>
        <v>0</v>
      </c>
      <c r="B395" t="s">
        <v>89</v>
      </c>
      <c r="C395" t="s">
        <v>275</v>
      </c>
      <c r="E395" t="s">
        <v>402</v>
      </c>
      <c r="F395" t="s">
        <v>1543</v>
      </c>
      <c r="G395" t="s">
        <v>2431</v>
      </c>
      <c r="H395">
        <v>24</v>
      </c>
      <c r="I395" t="s">
        <v>3495</v>
      </c>
      <c r="J395">
        <v>10033</v>
      </c>
      <c r="K395" t="s">
        <v>3522</v>
      </c>
      <c r="L395" t="s">
        <v>3525</v>
      </c>
      <c r="N395" t="s">
        <v>4108</v>
      </c>
      <c r="O395" t="s">
        <v>4134</v>
      </c>
      <c r="Q395" t="s">
        <v>4147</v>
      </c>
      <c r="R395" t="s">
        <v>3522</v>
      </c>
      <c r="T395" t="s">
        <v>4156</v>
      </c>
      <c r="V395" t="s">
        <v>275</v>
      </c>
      <c r="W395">
        <v>838.08</v>
      </c>
      <c r="X395" t="s">
        <v>4196</v>
      </c>
      <c r="Y395" t="s">
        <v>4205</v>
      </c>
      <c r="Z395" t="s">
        <v>4561</v>
      </c>
      <c r="AB395" t="s">
        <v>5943</v>
      </c>
      <c r="AC395">
        <v>20</v>
      </c>
      <c r="AD395" t="s">
        <v>6772</v>
      </c>
      <c r="AE395" t="s">
        <v>6791</v>
      </c>
      <c r="AF395">
        <v>28</v>
      </c>
      <c r="AG395">
        <v>1</v>
      </c>
      <c r="AH395">
        <v>0</v>
      </c>
      <c r="AI395">
        <v>64.05</v>
      </c>
      <c r="AL395" t="s">
        <v>6802</v>
      </c>
      <c r="AM395">
        <v>8000</v>
      </c>
    </row>
    <row r="396" spans="1:44">
      <c r="A396" s="1">
        <f>HYPERLINK("https://lsnyc.legalserver.org/matter/dynamic-profile/view/1915495","19-1915495")</f>
        <v>0</v>
      </c>
      <c r="B396" t="s">
        <v>106</v>
      </c>
      <c r="C396" t="s">
        <v>258</v>
      </c>
      <c r="D396" t="s">
        <v>258</v>
      </c>
      <c r="E396" t="s">
        <v>679</v>
      </c>
      <c r="F396" t="s">
        <v>1379</v>
      </c>
      <c r="G396" t="s">
        <v>2475</v>
      </c>
      <c r="I396" t="s">
        <v>3493</v>
      </c>
      <c r="J396">
        <v>10453</v>
      </c>
      <c r="K396" t="s">
        <v>3522</v>
      </c>
      <c r="L396" t="s">
        <v>3525</v>
      </c>
      <c r="M396" t="s">
        <v>3713</v>
      </c>
      <c r="N396" t="s">
        <v>4122</v>
      </c>
      <c r="O396" t="s">
        <v>4132</v>
      </c>
      <c r="P396" t="s">
        <v>4139</v>
      </c>
      <c r="Q396" t="s">
        <v>4147</v>
      </c>
      <c r="R396" t="s">
        <v>3523</v>
      </c>
      <c r="T396" t="s">
        <v>4156</v>
      </c>
      <c r="U396" t="s">
        <v>4168</v>
      </c>
      <c r="V396" t="s">
        <v>258</v>
      </c>
      <c r="W396">
        <v>1109</v>
      </c>
      <c r="X396" t="s">
        <v>4194</v>
      </c>
      <c r="Y396" t="s">
        <v>4206</v>
      </c>
      <c r="Z396" t="s">
        <v>4562</v>
      </c>
      <c r="AB396" t="s">
        <v>5944</v>
      </c>
      <c r="AC396">
        <v>30</v>
      </c>
      <c r="AF396">
        <v>20</v>
      </c>
      <c r="AG396">
        <v>1</v>
      </c>
      <c r="AH396">
        <v>0</v>
      </c>
      <c r="AI396">
        <v>64.18000000000001</v>
      </c>
      <c r="AL396" t="s">
        <v>6802</v>
      </c>
      <c r="AM396">
        <v>8016</v>
      </c>
    </row>
    <row r="397" spans="1:44">
      <c r="A397" s="1">
        <f>HYPERLINK("https://lsnyc.legalserver.org/matter/dynamic-profile/view/1916881","19-1916881")</f>
        <v>0</v>
      </c>
      <c r="B397" t="s">
        <v>93</v>
      </c>
      <c r="C397" t="s">
        <v>189</v>
      </c>
      <c r="D397" t="s">
        <v>332</v>
      </c>
      <c r="E397" t="s">
        <v>514</v>
      </c>
      <c r="F397" t="s">
        <v>1480</v>
      </c>
      <c r="G397" t="s">
        <v>2476</v>
      </c>
      <c r="H397" t="s">
        <v>3264</v>
      </c>
      <c r="I397" t="s">
        <v>3495</v>
      </c>
      <c r="J397">
        <v>10033</v>
      </c>
      <c r="K397" t="s">
        <v>3522</v>
      </c>
      <c r="L397" t="s">
        <v>3525</v>
      </c>
      <c r="M397" t="s">
        <v>3714</v>
      </c>
      <c r="N397" t="s">
        <v>4108</v>
      </c>
      <c r="O397" t="s">
        <v>4132</v>
      </c>
      <c r="P397" t="s">
        <v>4139</v>
      </c>
      <c r="Q397" t="s">
        <v>4147</v>
      </c>
      <c r="R397" t="s">
        <v>3523</v>
      </c>
      <c r="T397" t="s">
        <v>4156</v>
      </c>
      <c r="V397" t="s">
        <v>189</v>
      </c>
      <c r="W397">
        <v>748</v>
      </c>
      <c r="X397" t="s">
        <v>4196</v>
      </c>
      <c r="Y397" t="s">
        <v>4205</v>
      </c>
      <c r="Z397" t="s">
        <v>4563</v>
      </c>
      <c r="AB397" t="s">
        <v>5945</v>
      </c>
      <c r="AC397">
        <v>30</v>
      </c>
      <c r="AD397" t="s">
        <v>6772</v>
      </c>
      <c r="AE397" t="s">
        <v>6791</v>
      </c>
      <c r="AF397">
        <v>24</v>
      </c>
      <c r="AG397">
        <v>1</v>
      </c>
      <c r="AH397">
        <v>0</v>
      </c>
      <c r="AI397">
        <v>64.28</v>
      </c>
      <c r="AL397" t="s">
        <v>6802</v>
      </c>
      <c r="AM397">
        <v>8028</v>
      </c>
    </row>
    <row r="398" spans="1:44">
      <c r="A398" s="1">
        <f>HYPERLINK("https://lsnyc.legalserver.org/matter/dynamic-profile/view/1912700","19-1912700")</f>
        <v>0</v>
      </c>
      <c r="B398" t="s">
        <v>116</v>
      </c>
      <c r="C398" t="s">
        <v>287</v>
      </c>
      <c r="E398" t="s">
        <v>680</v>
      </c>
      <c r="F398" t="s">
        <v>1268</v>
      </c>
      <c r="G398" t="s">
        <v>2477</v>
      </c>
      <c r="H398" t="s">
        <v>3162</v>
      </c>
      <c r="I398" t="s">
        <v>3493</v>
      </c>
      <c r="J398">
        <v>10453</v>
      </c>
      <c r="K398" t="s">
        <v>3522</v>
      </c>
      <c r="L398" t="s">
        <v>3525</v>
      </c>
      <c r="M398" t="s">
        <v>3715</v>
      </c>
      <c r="N398" t="s">
        <v>4109</v>
      </c>
      <c r="Q398" t="s">
        <v>4147</v>
      </c>
      <c r="R398" t="s">
        <v>3523</v>
      </c>
      <c r="T398" t="s">
        <v>4156</v>
      </c>
      <c r="V398" t="s">
        <v>253</v>
      </c>
      <c r="W398">
        <v>1956</v>
      </c>
      <c r="X398" t="s">
        <v>4194</v>
      </c>
      <c r="Y398" t="s">
        <v>4201</v>
      </c>
      <c r="Z398" t="s">
        <v>4564</v>
      </c>
      <c r="AB398" t="s">
        <v>5946</v>
      </c>
      <c r="AC398">
        <v>0</v>
      </c>
      <c r="AD398" t="s">
        <v>5524</v>
      </c>
      <c r="AE398" t="s">
        <v>6787</v>
      </c>
      <c r="AF398">
        <v>4</v>
      </c>
      <c r="AG398">
        <v>3</v>
      </c>
      <c r="AH398">
        <v>4</v>
      </c>
      <c r="AI398">
        <v>64.59999999999999</v>
      </c>
      <c r="AL398" t="s">
        <v>6801</v>
      </c>
      <c r="AM398">
        <v>25200</v>
      </c>
    </row>
    <row r="399" spans="1:44">
      <c r="A399" s="1">
        <f>HYPERLINK("https://lsnyc.legalserver.org/matter/dynamic-profile/view/1917092","19-1917092")</f>
        <v>0</v>
      </c>
      <c r="B399" t="s">
        <v>91</v>
      </c>
      <c r="C399" t="s">
        <v>243</v>
      </c>
      <c r="E399" t="s">
        <v>681</v>
      </c>
      <c r="F399" t="s">
        <v>1268</v>
      </c>
      <c r="G399" t="s">
        <v>2249</v>
      </c>
      <c r="H399" t="s">
        <v>3265</v>
      </c>
      <c r="I399" t="s">
        <v>3495</v>
      </c>
      <c r="J399">
        <v>10037</v>
      </c>
      <c r="K399" t="s">
        <v>3522</v>
      </c>
      <c r="L399" t="s">
        <v>3525</v>
      </c>
      <c r="M399" t="s">
        <v>3716</v>
      </c>
      <c r="N399" t="s">
        <v>4109</v>
      </c>
      <c r="O399" t="s">
        <v>4136</v>
      </c>
      <c r="Q399" t="s">
        <v>4147</v>
      </c>
      <c r="R399" t="s">
        <v>3523</v>
      </c>
      <c r="T399" t="s">
        <v>4156</v>
      </c>
      <c r="U399" t="s">
        <v>4168</v>
      </c>
      <c r="V399" t="s">
        <v>243</v>
      </c>
      <c r="W399">
        <v>215.42</v>
      </c>
      <c r="X399" t="s">
        <v>4196</v>
      </c>
      <c r="Y399" t="s">
        <v>4198</v>
      </c>
      <c r="Z399" t="s">
        <v>4565</v>
      </c>
      <c r="AB399" t="s">
        <v>5947</v>
      </c>
      <c r="AC399">
        <v>259</v>
      </c>
      <c r="AD399" t="s">
        <v>6772</v>
      </c>
      <c r="AE399" t="s">
        <v>6786</v>
      </c>
      <c r="AF399">
        <v>17</v>
      </c>
      <c r="AG399">
        <v>1</v>
      </c>
      <c r="AH399">
        <v>1</v>
      </c>
      <c r="AI399">
        <v>64.72</v>
      </c>
      <c r="AL399" t="s">
        <v>6801</v>
      </c>
      <c r="AM399">
        <v>10944</v>
      </c>
    </row>
    <row r="400" spans="1:44">
      <c r="A400" s="1">
        <f>HYPERLINK("https://lsnyc.legalserver.org/matter/dynamic-profile/view/1901836","19-1901836")</f>
        <v>0</v>
      </c>
      <c r="B400" t="s">
        <v>55</v>
      </c>
      <c r="C400" t="s">
        <v>307</v>
      </c>
      <c r="D400" t="s">
        <v>237</v>
      </c>
      <c r="E400" t="s">
        <v>409</v>
      </c>
      <c r="F400" t="s">
        <v>1323</v>
      </c>
      <c r="G400" t="s">
        <v>2478</v>
      </c>
      <c r="H400" t="s">
        <v>3266</v>
      </c>
      <c r="I400" t="s">
        <v>3490</v>
      </c>
      <c r="J400">
        <v>11233</v>
      </c>
      <c r="K400" t="s">
        <v>3522</v>
      </c>
      <c r="L400" t="s">
        <v>3527</v>
      </c>
      <c r="M400" t="s">
        <v>3717</v>
      </c>
      <c r="N400" t="s">
        <v>4109</v>
      </c>
      <c r="O400" t="s">
        <v>4134</v>
      </c>
      <c r="P400" t="s">
        <v>4140</v>
      </c>
      <c r="Q400" t="s">
        <v>4147</v>
      </c>
      <c r="R400" t="s">
        <v>3523</v>
      </c>
      <c r="T400" t="s">
        <v>4156</v>
      </c>
      <c r="U400" t="s">
        <v>4169</v>
      </c>
      <c r="V400" t="s">
        <v>241</v>
      </c>
      <c r="W400">
        <v>146</v>
      </c>
      <c r="X400" t="s">
        <v>4193</v>
      </c>
      <c r="Y400" t="s">
        <v>4208</v>
      </c>
      <c r="Z400" t="s">
        <v>4566</v>
      </c>
      <c r="AA400" t="s">
        <v>5564</v>
      </c>
      <c r="AB400" t="s">
        <v>5948</v>
      </c>
      <c r="AC400">
        <v>36</v>
      </c>
      <c r="AD400" t="s">
        <v>6772</v>
      </c>
      <c r="AE400" t="s">
        <v>6786</v>
      </c>
      <c r="AF400">
        <v>15</v>
      </c>
      <c r="AG400">
        <v>2</v>
      </c>
      <c r="AH400">
        <v>0</v>
      </c>
      <c r="AI400">
        <v>64.87</v>
      </c>
      <c r="AL400" t="s">
        <v>6801</v>
      </c>
      <c r="AM400">
        <v>10970.16</v>
      </c>
      <c r="AO400" t="s">
        <v>6918</v>
      </c>
      <c r="AP400" t="s">
        <v>6924</v>
      </c>
      <c r="AQ400" t="s">
        <v>6945</v>
      </c>
      <c r="AR400" t="s">
        <v>6949</v>
      </c>
    </row>
    <row r="401" spans="1:44">
      <c r="A401" s="1">
        <f>HYPERLINK("https://lsnyc.legalserver.org/matter/dynamic-profile/view/1908970","19-1908970")</f>
        <v>0</v>
      </c>
      <c r="B401" t="s">
        <v>48</v>
      </c>
      <c r="C401" t="s">
        <v>304</v>
      </c>
      <c r="E401" t="s">
        <v>682</v>
      </c>
      <c r="F401" t="s">
        <v>1393</v>
      </c>
      <c r="G401" t="s">
        <v>2479</v>
      </c>
      <c r="I401" t="s">
        <v>3479</v>
      </c>
      <c r="J401">
        <v>11691</v>
      </c>
      <c r="K401" t="s">
        <v>3522</v>
      </c>
      <c r="L401" t="s">
        <v>3525</v>
      </c>
      <c r="M401" t="s">
        <v>3718</v>
      </c>
      <c r="N401" t="s">
        <v>4109</v>
      </c>
      <c r="O401" t="s">
        <v>4136</v>
      </c>
      <c r="Q401" t="s">
        <v>4147</v>
      </c>
      <c r="R401" t="s">
        <v>3523</v>
      </c>
      <c r="T401" t="s">
        <v>4156</v>
      </c>
      <c r="V401" t="s">
        <v>304</v>
      </c>
      <c r="W401">
        <v>2100</v>
      </c>
      <c r="X401" t="s">
        <v>4192</v>
      </c>
      <c r="Y401" t="s">
        <v>4197</v>
      </c>
      <c r="Z401" t="s">
        <v>4567</v>
      </c>
      <c r="AB401" t="s">
        <v>5949</v>
      </c>
      <c r="AC401">
        <v>2</v>
      </c>
      <c r="AD401" t="s">
        <v>5524</v>
      </c>
      <c r="AE401" t="s">
        <v>6786</v>
      </c>
      <c r="AF401">
        <v>4</v>
      </c>
      <c r="AG401">
        <v>2</v>
      </c>
      <c r="AH401">
        <v>1</v>
      </c>
      <c r="AI401">
        <v>65.04000000000001</v>
      </c>
      <c r="AL401" t="s">
        <v>6801</v>
      </c>
      <c r="AM401">
        <v>13872</v>
      </c>
    </row>
    <row r="402" spans="1:44">
      <c r="A402" s="1">
        <f>HYPERLINK("https://lsnyc.legalserver.org/matter/dynamic-profile/view/1914873","19-1914873")</f>
        <v>0</v>
      </c>
      <c r="B402" t="s">
        <v>94</v>
      </c>
      <c r="C402" t="s">
        <v>301</v>
      </c>
      <c r="E402" t="s">
        <v>683</v>
      </c>
      <c r="F402" t="s">
        <v>1544</v>
      </c>
      <c r="G402" t="s">
        <v>2480</v>
      </c>
      <c r="H402" t="s">
        <v>3162</v>
      </c>
      <c r="I402" t="s">
        <v>3495</v>
      </c>
      <c r="J402">
        <v>10035</v>
      </c>
      <c r="K402" t="s">
        <v>3522</v>
      </c>
      <c r="L402" t="s">
        <v>3525</v>
      </c>
      <c r="N402" t="s">
        <v>4108</v>
      </c>
      <c r="O402" t="s">
        <v>4134</v>
      </c>
      <c r="Q402" t="s">
        <v>4147</v>
      </c>
      <c r="R402" t="s">
        <v>3522</v>
      </c>
      <c r="T402" t="s">
        <v>4156</v>
      </c>
      <c r="U402" t="s">
        <v>4168</v>
      </c>
      <c r="V402" t="s">
        <v>267</v>
      </c>
      <c r="W402">
        <v>1350</v>
      </c>
      <c r="X402" t="s">
        <v>4196</v>
      </c>
      <c r="Y402" t="s">
        <v>4201</v>
      </c>
      <c r="Z402" t="s">
        <v>4568</v>
      </c>
      <c r="AB402" t="s">
        <v>5950</v>
      </c>
      <c r="AC402">
        <v>60</v>
      </c>
      <c r="AD402" t="s">
        <v>6772</v>
      </c>
      <c r="AE402" t="s">
        <v>3526</v>
      </c>
      <c r="AF402">
        <v>7</v>
      </c>
      <c r="AG402">
        <v>2</v>
      </c>
      <c r="AH402">
        <v>4</v>
      </c>
      <c r="AI402">
        <v>65.05</v>
      </c>
      <c r="AL402" t="s">
        <v>6801</v>
      </c>
      <c r="AM402">
        <v>22500</v>
      </c>
    </row>
    <row r="403" spans="1:44">
      <c r="A403" s="1">
        <f>HYPERLINK("https://lsnyc.legalserver.org/matter/dynamic-profile/view/1907752","19-1907752")</f>
        <v>0</v>
      </c>
      <c r="B403" t="s">
        <v>96</v>
      </c>
      <c r="C403" t="s">
        <v>222</v>
      </c>
      <c r="D403" t="s">
        <v>247</v>
      </c>
      <c r="E403" t="s">
        <v>684</v>
      </c>
      <c r="F403" t="s">
        <v>1378</v>
      </c>
      <c r="G403" t="s">
        <v>2481</v>
      </c>
      <c r="H403" t="s">
        <v>3267</v>
      </c>
      <c r="I403" t="s">
        <v>3493</v>
      </c>
      <c r="J403">
        <v>10456</v>
      </c>
      <c r="K403" t="s">
        <v>3522</v>
      </c>
      <c r="L403" t="s">
        <v>3525</v>
      </c>
      <c r="N403" t="s">
        <v>4107</v>
      </c>
      <c r="O403" t="s">
        <v>4132</v>
      </c>
      <c r="P403" t="s">
        <v>4139</v>
      </c>
      <c r="Q403" t="s">
        <v>4147</v>
      </c>
      <c r="R403" t="s">
        <v>3523</v>
      </c>
      <c r="T403" t="s">
        <v>4156</v>
      </c>
      <c r="V403" t="s">
        <v>247</v>
      </c>
      <c r="W403">
        <v>845</v>
      </c>
      <c r="X403" t="s">
        <v>4194</v>
      </c>
      <c r="Y403" t="s">
        <v>4206</v>
      </c>
      <c r="Z403" t="s">
        <v>4569</v>
      </c>
      <c r="AB403" t="s">
        <v>5951</v>
      </c>
      <c r="AC403">
        <v>112</v>
      </c>
      <c r="AD403" t="s">
        <v>6772</v>
      </c>
      <c r="AE403" t="s">
        <v>3526</v>
      </c>
      <c r="AF403">
        <v>6</v>
      </c>
      <c r="AG403">
        <v>1</v>
      </c>
      <c r="AH403">
        <v>2</v>
      </c>
      <c r="AI403">
        <v>65.64</v>
      </c>
      <c r="AL403" t="s">
        <v>6801</v>
      </c>
      <c r="AM403">
        <v>14000</v>
      </c>
    </row>
    <row r="404" spans="1:44">
      <c r="A404" s="1">
        <f>HYPERLINK("https://lsnyc.legalserver.org/matter/dynamic-profile/view/1906820","19-1906820")</f>
        <v>0</v>
      </c>
      <c r="B404" t="s">
        <v>84</v>
      </c>
      <c r="C404" t="s">
        <v>308</v>
      </c>
      <c r="D404" t="s">
        <v>333</v>
      </c>
      <c r="E404" t="s">
        <v>526</v>
      </c>
      <c r="F404" t="s">
        <v>1545</v>
      </c>
      <c r="G404" t="s">
        <v>2482</v>
      </c>
      <c r="H404" t="s">
        <v>3268</v>
      </c>
      <c r="I404" t="s">
        <v>3494</v>
      </c>
      <c r="J404">
        <v>10306</v>
      </c>
      <c r="K404" t="s">
        <v>3522</v>
      </c>
      <c r="L404" t="s">
        <v>3525</v>
      </c>
      <c r="M404" t="s">
        <v>3719</v>
      </c>
      <c r="N404" t="s">
        <v>4109</v>
      </c>
      <c r="O404" t="s">
        <v>4134</v>
      </c>
      <c r="P404" t="s">
        <v>4143</v>
      </c>
      <c r="Q404" t="s">
        <v>4147</v>
      </c>
      <c r="R404" t="s">
        <v>3523</v>
      </c>
      <c r="T404" t="s">
        <v>4156</v>
      </c>
      <c r="U404" t="s">
        <v>4168</v>
      </c>
      <c r="V404" t="s">
        <v>308</v>
      </c>
      <c r="W404">
        <v>1820</v>
      </c>
      <c r="X404" t="s">
        <v>4195</v>
      </c>
      <c r="Y404" t="s">
        <v>4203</v>
      </c>
      <c r="Z404" t="s">
        <v>4570</v>
      </c>
      <c r="AB404" t="s">
        <v>5952</v>
      </c>
      <c r="AC404">
        <v>3</v>
      </c>
      <c r="AD404" t="s">
        <v>6771</v>
      </c>
      <c r="AE404" t="s">
        <v>6786</v>
      </c>
      <c r="AF404">
        <v>-1</v>
      </c>
      <c r="AG404">
        <v>2</v>
      </c>
      <c r="AH404">
        <v>0</v>
      </c>
      <c r="AI404">
        <v>65.70999999999999</v>
      </c>
      <c r="AL404" t="s">
        <v>6801</v>
      </c>
      <c r="AM404">
        <v>11112</v>
      </c>
      <c r="AO404" t="s">
        <v>6919</v>
      </c>
      <c r="AP404" t="s">
        <v>6928</v>
      </c>
      <c r="AQ404" t="s">
        <v>6945</v>
      </c>
      <c r="AR404" t="s">
        <v>6974</v>
      </c>
    </row>
    <row r="405" spans="1:44">
      <c r="A405" s="1">
        <f>HYPERLINK("https://lsnyc.legalserver.org/matter/dynamic-profile/view/1904669","19-1904669")</f>
        <v>0</v>
      </c>
      <c r="B405" t="s">
        <v>55</v>
      </c>
      <c r="C405" t="s">
        <v>246</v>
      </c>
      <c r="E405" t="s">
        <v>685</v>
      </c>
      <c r="F405" t="s">
        <v>1546</v>
      </c>
      <c r="G405" t="s">
        <v>2269</v>
      </c>
      <c r="H405" t="s">
        <v>3144</v>
      </c>
      <c r="I405" t="s">
        <v>3490</v>
      </c>
      <c r="J405">
        <v>11208</v>
      </c>
      <c r="K405" t="s">
        <v>3522</v>
      </c>
      <c r="L405" t="s">
        <v>3527</v>
      </c>
      <c r="M405" t="s">
        <v>3720</v>
      </c>
      <c r="N405" t="s">
        <v>4107</v>
      </c>
      <c r="O405" t="s">
        <v>4134</v>
      </c>
      <c r="Q405" t="s">
        <v>4147</v>
      </c>
      <c r="R405" t="s">
        <v>3523</v>
      </c>
      <c r="T405" t="s">
        <v>4156</v>
      </c>
      <c r="U405" t="s">
        <v>4169</v>
      </c>
      <c r="V405" t="s">
        <v>261</v>
      </c>
      <c r="W405">
        <v>1612</v>
      </c>
      <c r="X405" t="s">
        <v>4193</v>
      </c>
      <c r="Y405" t="s">
        <v>4213</v>
      </c>
      <c r="Z405" t="s">
        <v>4571</v>
      </c>
      <c r="AA405" t="s">
        <v>5565</v>
      </c>
      <c r="AB405" t="s">
        <v>5953</v>
      </c>
      <c r="AC405">
        <v>319</v>
      </c>
      <c r="AD405" t="s">
        <v>6772</v>
      </c>
      <c r="AE405" t="s">
        <v>6788</v>
      </c>
      <c r="AF405">
        <v>14</v>
      </c>
      <c r="AG405">
        <v>1</v>
      </c>
      <c r="AH405">
        <v>7</v>
      </c>
      <c r="AI405">
        <v>65.98</v>
      </c>
      <c r="AL405" t="s">
        <v>6801</v>
      </c>
      <c r="AM405">
        <v>28656</v>
      </c>
    </row>
    <row r="406" spans="1:44">
      <c r="A406" s="1">
        <f>HYPERLINK("https://lsnyc.legalserver.org/matter/dynamic-profile/view/1911480","19-1911480")</f>
        <v>0</v>
      </c>
      <c r="B406" t="s">
        <v>92</v>
      </c>
      <c r="C406" t="s">
        <v>215</v>
      </c>
      <c r="E406" t="s">
        <v>686</v>
      </c>
      <c r="F406" t="s">
        <v>1547</v>
      </c>
      <c r="G406" t="s">
        <v>2483</v>
      </c>
      <c r="H406">
        <v>611</v>
      </c>
      <c r="I406" t="s">
        <v>3495</v>
      </c>
      <c r="J406">
        <v>10032</v>
      </c>
      <c r="K406" t="s">
        <v>3522</v>
      </c>
      <c r="L406" t="s">
        <v>3525</v>
      </c>
      <c r="M406" t="s">
        <v>3721</v>
      </c>
      <c r="N406" t="s">
        <v>4107</v>
      </c>
      <c r="O406" t="s">
        <v>4136</v>
      </c>
      <c r="Q406" t="s">
        <v>4147</v>
      </c>
      <c r="R406" t="s">
        <v>3523</v>
      </c>
      <c r="T406" t="s">
        <v>4156</v>
      </c>
      <c r="V406" t="s">
        <v>215</v>
      </c>
      <c r="W406">
        <v>156</v>
      </c>
      <c r="X406" t="s">
        <v>4196</v>
      </c>
      <c r="Y406" t="s">
        <v>4205</v>
      </c>
      <c r="Z406" t="s">
        <v>4572</v>
      </c>
      <c r="AB406" t="s">
        <v>5954</v>
      </c>
      <c r="AC406">
        <v>13</v>
      </c>
      <c r="AD406" t="s">
        <v>6772</v>
      </c>
      <c r="AE406" t="s">
        <v>6786</v>
      </c>
      <c r="AF406">
        <v>4</v>
      </c>
      <c r="AG406">
        <v>1</v>
      </c>
      <c r="AH406">
        <v>0</v>
      </c>
      <c r="AI406">
        <v>66.58</v>
      </c>
      <c r="AL406" t="s">
        <v>6801</v>
      </c>
      <c r="AM406">
        <v>8316</v>
      </c>
    </row>
    <row r="407" spans="1:44">
      <c r="A407" s="1">
        <f>HYPERLINK("https://lsnyc.legalserver.org/matter/dynamic-profile/view/1916879","19-1916879")</f>
        <v>0</v>
      </c>
      <c r="B407" t="s">
        <v>99</v>
      </c>
      <c r="C407" t="s">
        <v>189</v>
      </c>
      <c r="E407" t="s">
        <v>687</v>
      </c>
      <c r="F407" t="s">
        <v>1379</v>
      </c>
      <c r="G407" t="s">
        <v>2373</v>
      </c>
      <c r="H407">
        <v>209</v>
      </c>
      <c r="I407" t="s">
        <v>3495</v>
      </c>
      <c r="J407">
        <v>10029</v>
      </c>
      <c r="K407" t="s">
        <v>3522</v>
      </c>
      <c r="L407" t="s">
        <v>3525</v>
      </c>
      <c r="N407" t="s">
        <v>4108</v>
      </c>
      <c r="O407" t="s">
        <v>4134</v>
      </c>
      <c r="Q407" t="s">
        <v>4147</v>
      </c>
      <c r="R407" t="s">
        <v>3522</v>
      </c>
      <c r="T407" t="s">
        <v>4156</v>
      </c>
      <c r="U407" t="s">
        <v>4168</v>
      </c>
      <c r="V407" t="s">
        <v>189</v>
      </c>
      <c r="W407">
        <v>178</v>
      </c>
      <c r="X407" t="s">
        <v>4196</v>
      </c>
      <c r="Y407" t="s">
        <v>4198</v>
      </c>
      <c r="Z407" t="s">
        <v>4573</v>
      </c>
      <c r="AB407" t="s">
        <v>5955</v>
      </c>
      <c r="AC407">
        <v>108</v>
      </c>
      <c r="AD407" t="s">
        <v>6778</v>
      </c>
      <c r="AE407" t="s">
        <v>6786</v>
      </c>
      <c r="AF407">
        <v>32</v>
      </c>
      <c r="AG407">
        <v>1</v>
      </c>
      <c r="AH407">
        <v>0</v>
      </c>
      <c r="AI407">
        <v>66.58</v>
      </c>
      <c r="AL407" t="s">
        <v>6802</v>
      </c>
      <c r="AM407">
        <v>8316</v>
      </c>
    </row>
    <row r="408" spans="1:44">
      <c r="A408" s="1">
        <f>HYPERLINK("https://lsnyc.legalserver.org/matter/dynamic-profile/view/1880652","18-1880652")</f>
        <v>0</v>
      </c>
      <c r="B408" t="s">
        <v>111</v>
      </c>
      <c r="C408" t="s">
        <v>309</v>
      </c>
      <c r="E408" t="s">
        <v>688</v>
      </c>
      <c r="F408" t="s">
        <v>1328</v>
      </c>
      <c r="G408" t="s">
        <v>2484</v>
      </c>
      <c r="H408" t="s">
        <v>3269</v>
      </c>
      <c r="I408" t="s">
        <v>3490</v>
      </c>
      <c r="J408">
        <v>11233</v>
      </c>
      <c r="K408" t="s">
        <v>3522</v>
      </c>
      <c r="L408" t="s">
        <v>3525</v>
      </c>
      <c r="M408" t="s">
        <v>3722</v>
      </c>
      <c r="N408" t="s">
        <v>4107</v>
      </c>
      <c r="O408" t="s">
        <v>4134</v>
      </c>
      <c r="Q408" t="s">
        <v>4147</v>
      </c>
      <c r="R408" t="s">
        <v>3523</v>
      </c>
      <c r="T408" t="s">
        <v>4156</v>
      </c>
      <c r="U408" t="s">
        <v>4169</v>
      </c>
      <c r="V408" t="s">
        <v>241</v>
      </c>
      <c r="W408">
        <v>700</v>
      </c>
      <c r="X408" t="s">
        <v>4193</v>
      </c>
      <c r="Y408" t="s">
        <v>4203</v>
      </c>
      <c r="Z408" t="s">
        <v>4574</v>
      </c>
      <c r="AB408" t="s">
        <v>5956</v>
      </c>
      <c r="AC408">
        <v>27</v>
      </c>
      <c r="AD408" t="s">
        <v>6779</v>
      </c>
      <c r="AF408">
        <v>10</v>
      </c>
      <c r="AG408">
        <v>1</v>
      </c>
      <c r="AH408">
        <v>0</v>
      </c>
      <c r="AI408">
        <v>66.72</v>
      </c>
      <c r="AL408" t="s">
        <v>6801</v>
      </c>
      <c r="AM408">
        <v>8100</v>
      </c>
      <c r="AN408" t="s">
        <v>6846</v>
      </c>
    </row>
    <row r="409" spans="1:44">
      <c r="A409" s="1">
        <f>HYPERLINK("https://lsnyc.legalserver.org/matter/dynamic-profile/view/1912655","19-1912655")</f>
        <v>0</v>
      </c>
      <c r="B409" t="s">
        <v>77</v>
      </c>
      <c r="C409" t="s">
        <v>256</v>
      </c>
      <c r="D409" t="s">
        <v>327</v>
      </c>
      <c r="E409" t="s">
        <v>689</v>
      </c>
      <c r="F409" t="s">
        <v>1404</v>
      </c>
      <c r="G409" t="s">
        <v>2485</v>
      </c>
      <c r="H409" t="s">
        <v>3252</v>
      </c>
      <c r="I409" t="s">
        <v>3493</v>
      </c>
      <c r="J409">
        <v>10472</v>
      </c>
      <c r="K409" t="s">
        <v>3522</v>
      </c>
      <c r="L409" t="s">
        <v>3525</v>
      </c>
      <c r="N409" t="s">
        <v>3554</v>
      </c>
      <c r="O409" t="s">
        <v>4132</v>
      </c>
      <c r="P409" t="s">
        <v>4139</v>
      </c>
      <c r="Q409" t="s">
        <v>4147</v>
      </c>
      <c r="R409" t="s">
        <v>3523</v>
      </c>
      <c r="T409" t="s">
        <v>4156</v>
      </c>
      <c r="V409" t="s">
        <v>178</v>
      </c>
      <c r="W409">
        <v>905.4</v>
      </c>
      <c r="X409" t="s">
        <v>4194</v>
      </c>
      <c r="Y409" t="s">
        <v>4206</v>
      </c>
      <c r="Z409" t="s">
        <v>4575</v>
      </c>
      <c r="AB409" t="s">
        <v>5957</v>
      </c>
      <c r="AC409">
        <v>54</v>
      </c>
      <c r="AD409" t="s">
        <v>6772</v>
      </c>
      <c r="AE409" t="s">
        <v>3526</v>
      </c>
      <c r="AF409">
        <v>26</v>
      </c>
      <c r="AG409">
        <v>2</v>
      </c>
      <c r="AH409">
        <v>0</v>
      </c>
      <c r="AI409">
        <v>66.84999999999999</v>
      </c>
      <c r="AL409" t="s">
        <v>6801</v>
      </c>
      <c r="AM409">
        <v>11304.7</v>
      </c>
    </row>
    <row r="410" spans="1:44">
      <c r="A410" s="1">
        <f>HYPERLINK("https://lsnyc.legalserver.org/matter/dynamic-profile/view/1913384","19-1913384")</f>
        <v>0</v>
      </c>
      <c r="B410" t="s">
        <v>79</v>
      </c>
      <c r="C410" t="s">
        <v>192</v>
      </c>
      <c r="D410" t="s">
        <v>195</v>
      </c>
      <c r="E410" t="s">
        <v>402</v>
      </c>
      <c r="F410" t="s">
        <v>1404</v>
      </c>
      <c r="G410" t="s">
        <v>2368</v>
      </c>
      <c r="H410" t="s">
        <v>3270</v>
      </c>
      <c r="I410" t="s">
        <v>3493</v>
      </c>
      <c r="J410">
        <v>10453</v>
      </c>
      <c r="K410" t="s">
        <v>3522</v>
      </c>
      <c r="L410" t="s">
        <v>3525</v>
      </c>
      <c r="N410" t="s">
        <v>4108</v>
      </c>
      <c r="O410" t="s">
        <v>4132</v>
      </c>
      <c r="P410" t="s">
        <v>4139</v>
      </c>
      <c r="Q410" t="s">
        <v>4147</v>
      </c>
      <c r="R410" t="s">
        <v>3523</v>
      </c>
      <c r="T410" t="s">
        <v>4156</v>
      </c>
      <c r="U410" t="s">
        <v>4168</v>
      </c>
      <c r="V410" t="s">
        <v>238</v>
      </c>
      <c r="W410">
        <v>750.73</v>
      </c>
      <c r="X410" t="s">
        <v>4194</v>
      </c>
      <c r="Y410" t="s">
        <v>4198</v>
      </c>
      <c r="Z410" t="s">
        <v>4576</v>
      </c>
      <c r="AB410" t="s">
        <v>5958</v>
      </c>
      <c r="AC410">
        <v>170</v>
      </c>
      <c r="AD410" t="s">
        <v>6772</v>
      </c>
      <c r="AE410" t="s">
        <v>6786</v>
      </c>
      <c r="AF410">
        <v>2</v>
      </c>
      <c r="AG410">
        <v>2</v>
      </c>
      <c r="AH410">
        <v>1</v>
      </c>
      <c r="AI410">
        <v>67.04000000000001</v>
      </c>
      <c r="AL410" t="s">
        <v>6801</v>
      </c>
      <c r="AM410">
        <v>14300</v>
      </c>
    </row>
    <row r="411" spans="1:44">
      <c r="A411" s="1">
        <f>HYPERLINK("https://lsnyc.legalserver.org/matter/dynamic-profile/view/1897018","19-1897018")</f>
        <v>0</v>
      </c>
      <c r="B411" t="s">
        <v>69</v>
      </c>
      <c r="C411" t="s">
        <v>310</v>
      </c>
      <c r="D411" t="s">
        <v>285</v>
      </c>
      <c r="E411" t="s">
        <v>690</v>
      </c>
      <c r="F411" t="s">
        <v>1398</v>
      </c>
      <c r="G411" t="s">
        <v>2486</v>
      </c>
      <c r="H411" t="s">
        <v>3271</v>
      </c>
      <c r="I411" t="s">
        <v>3490</v>
      </c>
      <c r="J411">
        <v>11217</v>
      </c>
      <c r="K411" t="s">
        <v>3522</v>
      </c>
      <c r="L411" t="s">
        <v>3525</v>
      </c>
      <c r="M411" t="s">
        <v>3553</v>
      </c>
      <c r="N411" t="s">
        <v>4113</v>
      </c>
      <c r="O411" t="s">
        <v>4132</v>
      </c>
      <c r="P411" t="s">
        <v>4139</v>
      </c>
      <c r="Q411" t="s">
        <v>4148</v>
      </c>
      <c r="R411" t="s">
        <v>3523</v>
      </c>
      <c r="T411" t="s">
        <v>4156</v>
      </c>
      <c r="U411" t="s">
        <v>4168</v>
      </c>
      <c r="V411" t="s">
        <v>241</v>
      </c>
      <c r="W411">
        <v>2019.37</v>
      </c>
      <c r="X411" t="s">
        <v>4193</v>
      </c>
      <c r="Y411" t="s">
        <v>4199</v>
      </c>
      <c r="Z411" t="s">
        <v>4577</v>
      </c>
      <c r="AB411" t="s">
        <v>5959</v>
      </c>
      <c r="AC411">
        <v>363</v>
      </c>
      <c r="AD411" t="s">
        <v>6772</v>
      </c>
      <c r="AE411" t="s">
        <v>6793</v>
      </c>
      <c r="AF411">
        <v>2</v>
      </c>
      <c r="AG411">
        <v>1</v>
      </c>
      <c r="AH411">
        <v>0</v>
      </c>
      <c r="AI411">
        <v>67.25</v>
      </c>
      <c r="AJ411" t="s">
        <v>6795</v>
      </c>
      <c r="AK411" t="s">
        <v>6798</v>
      </c>
      <c r="AL411" t="s">
        <v>6801</v>
      </c>
      <c r="AM411">
        <v>8400</v>
      </c>
    </row>
    <row r="412" spans="1:44">
      <c r="A412" s="1">
        <f>HYPERLINK("https://lsnyc.legalserver.org/matter/dynamic-profile/view/1907513","19-1907513")</f>
        <v>0</v>
      </c>
      <c r="B412" t="s">
        <v>126</v>
      </c>
      <c r="C412" t="s">
        <v>185</v>
      </c>
      <c r="D412" t="s">
        <v>299</v>
      </c>
      <c r="E412" t="s">
        <v>691</v>
      </c>
      <c r="F412" t="s">
        <v>1374</v>
      </c>
      <c r="G412" t="s">
        <v>2487</v>
      </c>
      <c r="H412" t="s">
        <v>3272</v>
      </c>
      <c r="I412" t="s">
        <v>3493</v>
      </c>
      <c r="J412">
        <v>10452</v>
      </c>
      <c r="K412" t="s">
        <v>3522</v>
      </c>
      <c r="L412" t="s">
        <v>3525</v>
      </c>
      <c r="M412" t="s">
        <v>3562</v>
      </c>
      <c r="N412" t="s">
        <v>3554</v>
      </c>
      <c r="O412" t="s">
        <v>4132</v>
      </c>
      <c r="P412" t="s">
        <v>4139</v>
      </c>
      <c r="Q412" t="s">
        <v>4147</v>
      </c>
      <c r="R412" t="s">
        <v>3523</v>
      </c>
      <c r="T412" t="s">
        <v>4156</v>
      </c>
      <c r="V412" t="s">
        <v>4175</v>
      </c>
      <c r="W412">
        <v>125</v>
      </c>
      <c r="X412" t="s">
        <v>4194</v>
      </c>
      <c r="Y412" t="s">
        <v>4201</v>
      </c>
      <c r="Z412" t="s">
        <v>4578</v>
      </c>
      <c r="AB412" t="s">
        <v>5960</v>
      </c>
      <c r="AC412">
        <v>42</v>
      </c>
      <c r="AD412" t="s">
        <v>6772</v>
      </c>
      <c r="AE412" t="s">
        <v>6789</v>
      </c>
      <c r="AF412">
        <v>25</v>
      </c>
      <c r="AG412">
        <v>1</v>
      </c>
      <c r="AH412">
        <v>0</v>
      </c>
      <c r="AI412">
        <v>67.25</v>
      </c>
      <c r="AL412" t="s">
        <v>6801</v>
      </c>
      <c r="AM412">
        <v>8400</v>
      </c>
    </row>
    <row r="413" spans="1:44">
      <c r="A413" s="1">
        <f>HYPERLINK("https://lsnyc.legalserver.org/matter/dynamic-profile/view/1906452","19-1906452")</f>
        <v>0</v>
      </c>
      <c r="B413" t="s">
        <v>83</v>
      </c>
      <c r="C413" t="s">
        <v>211</v>
      </c>
      <c r="D413" t="s">
        <v>211</v>
      </c>
      <c r="E413" t="s">
        <v>692</v>
      </c>
      <c r="F413" t="s">
        <v>1548</v>
      </c>
      <c r="G413" t="s">
        <v>2488</v>
      </c>
      <c r="I413" t="s">
        <v>3493</v>
      </c>
      <c r="J413">
        <v>10451</v>
      </c>
      <c r="K413" t="s">
        <v>3522</v>
      </c>
      <c r="L413" t="s">
        <v>3525</v>
      </c>
      <c r="N413" t="s">
        <v>4110</v>
      </c>
      <c r="O413" t="s">
        <v>4135</v>
      </c>
      <c r="P413" t="s">
        <v>4139</v>
      </c>
      <c r="Q413" t="s">
        <v>4147</v>
      </c>
      <c r="T413" t="s">
        <v>4156</v>
      </c>
      <c r="V413" t="s">
        <v>211</v>
      </c>
      <c r="W413">
        <v>850</v>
      </c>
      <c r="X413" t="s">
        <v>4194</v>
      </c>
      <c r="Z413" t="s">
        <v>4579</v>
      </c>
      <c r="AC413">
        <v>101</v>
      </c>
      <c r="AD413" t="s">
        <v>6772</v>
      </c>
      <c r="AF413">
        <v>20</v>
      </c>
      <c r="AG413">
        <v>1</v>
      </c>
      <c r="AH413">
        <v>0</v>
      </c>
      <c r="AI413">
        <v>67.25</v>
      </c>
      <c r="AL413" t="s">
        <v>6801</v>
      </c>
      <c r="AM413">
        <v>8400</v>
      </c>
    </row>
    <row r="414" spans="1:44">
      <c r="A414" s="1">
        <f>HYPERLINK("https://lsnyc.legalserver.org/matter/dynamic-profile/view/1913581","19-1913581")</f>
        <v>0</v>
      </c>
      <c r="B414" t="s">
        <v>67</v>
      </c>
      <c r="C414" t="s">
        <v>265</v>
      </c>
      <c r="E414" t="s">
        <v>668</v>
      </c>
      <c r="F414" t="s">
        <v>1533</v>
      </c>
      <c r="G414" t="s">
        <v>2212</v>
      </c>
      <c r="H414">
        <v>5</v>
      </c>
      <c r="I414" t="s">
        <v>3490</v>
      </c>
      <c r="J414">
        <v>11213</v>
      </c>
      <c r="K414" t="s">
        <v>3522</v>
      </c>
      <c r="L414" t="s">
        <v>3525</v>
      </c>
      <c r="M414" t="s">
        <v>3526</v>
      </c>
      <c r="N414" t="s">
        <v>3554</v>
      </c>
      <c r="O414" t="s">
        <v>4135</v>
      </c>
      <c r="Q414" t="s">
        <v>4147</v>
      </c>
      <c r="R414" t="s">
        <v>3522</v>
      </c>
      <c r="T414" t="s">
        <v>4156</v>
      </c>
      <c r="V414" t="s">
        <v>265</v>
      </c>
      <c r="W414">
        <v>848</v>
      </c>
      <c r="X414" t="s">
        <v>4193</v>
      </c>
      <c r="Y414" t="s">
        <v>4198</v>
      </c>
      <c r="Z414" t="s">
        <v>4543</v>
      </c>
      <c r="AA414" t="s">
        <v>3526</v>
      </c>
      <c r="AB414" t="s">
        <v>5926</v>
      </c>
      <c r="AC414">
        <v>31</v>
      </c>
      <c r="AD414" t="s">
        <v>6772</v>
      </c>
      <c r="AE414" t="s">
        <v>6791</v>
      </c>
      <c r="AF414">
        <v>10</v>
      </c>
      <c r="AG414">
        <v>2</v>
      </c>
      <c r="AH414">
        <v>1</v>
      </c>
      <c r="AI414">
        <v>67.51000000000001</v>
      </c>
      <c r="AL414" t="s">
        <v>6801</v>
      </c>
      <c r="AM414">
        <v>14400</v>
      </c>
    </row>
    <row r="415" spans="1:44">
      <c r="A415" s="1">
        <f>HYPERLINK("https://lsnyc.legalserver.org/matter/dynamic-profile/view/1906859","19-1906859")</f>
        <v>0</v>
      </c>
      <c r="B415" t="s">
        <v>107</v>
      </c>
      <c r="C415" t="s">
        <v>308</v>
      </c>
      <c r="D415" t="s">
        <v>217</v>
      </c>
      <c r="E415" t="s">
        <v>693</v>
      </c>
      <c r="F415" t="s">
        <v>1549</v>
      </c>
      <c r="G415" t="s">
        <v>2489</v>
      </c>
      <c r="H415">
        <v>2</v>
      </c>
      <c r="I415" t="s">
        <v>3494</v>
      </c>
      <c r="J415">
        <v>10306</v>
      </c>
      <c r="K415" t="s">
        <v>3522</v>
      </c>
      <c r="L415" t="s">
        <v>3525</v>
      </c>
      <c r="N415" t="s">
        <v>3554</v>
      </c>
      <c r="O415" t="s">
        <v>4132</v>
      </c>
      <c r="P415" t="s">
        <v>4139</v>
      </c>
      <c r="Q415" t="s">
        <v>4148</v>
      </c>
      <c r="R415" t="s">
        <v>3523</v>
      </c>
      <c r="T415" t="s">
        <v>4156</v>
      </c>
      <c r="U415" t="s">
        <v>4168</v>
      </c>
      <c r="V415" t="s">
        <v>308</v>
      </c>
      <c r="W415">
        <v>1200</v>
      </c>
      <c r="X415" t="s">
        <v>4195</v>
      </c>
      <c r="Y415" t="s">
        <v>4199</v>
      </c>
      <c r="Z415" t="s">
        <v>4580</v>
      </c>
      <c r="AB415" t="s">
        <v>5961</v>
      </c>
      <c r="AC415">
        <v>2</v>
      </c>
      <c r="AD415" t="s">
        <v>6771</v>
      </c>
      <c r="AE415" t="s">
        <v>3526</v>
      </c>
      <c r="AF415">
        <v>1</v>
      </c>
      <c r="AG415">
        <v>3</v>
      </c>
      <c r="AH415">
        <v>0</v>
      </c>
      <c r="AI415">
        <v>67.51000000000001</v>
      </c>
      <c r="AJ415" t="s">
        <v>6795</v>
      </c>
      <c r="AK415" t="s">
        <v>6798</v>
      </c>
      <c r="AL415" t="s">
        <v>6801</v>
      </c>
      <c r="AM415">
        <v>14400</v>
      </c>
    </row>
    <row r="416" spans="1:44">
      <c r="A416" s="1">
        <f>HYPERLINK("https://lsnyc.legalserver.org/matter/dynamic-profile/view/1911004","19-1911004")</f>
        <v>0</v>
      </c>
      <c r="B416" t="s">
        <v>94</v>
      </c>
      <c r="C416" t="s">
        <v>270</v>
      </c>
      <c r="D416" t="s">
        <v>189</v>
      </c>
      <c r="E416" t="s">
        <v>694</v>
      </c>
      <c r="F416" t="s">
        <v>1480</v>
      </c>
      <c r="G416" t="s">
        <v>2490</v>
      </c>
      <c r="H416" t="s">
        <v>3152</v>
      </c>
      <c r="I416" t="s">
        <v>3495</v>
      </c>
      <c r="J416">
        <v>10029</v>
      </c>
      <c r="K416" t="s">
        <v>3522</v>
      </c>
      <c r="L416" t="s">
        <v>3525</v>
      </c>
      <c r="M416" t="s">
        <v>3723</v>
      </c>
      <c r="N416" t="s">
        <v>4110</v>
      </c>
      <c r="O416" t="s">
        <v>4137</v>
      </c>
      <c r="P416" t="s">
        <v>4144</v>
      </c>
      <c r="Q416" t="s">
        <v>4147</v>
      </c>
      <c r="R416" t="s">
        <v>3523</v>
      </c>
      <c r="T416" t="s">
        <v>4156</v>
      </c>
      <c r="U416" t="s">
        <v>4168</v>
      </c>
      <c r="V416" t="s">
        <v>270</v>
      </c>
      <c r="W416">
        <v>404.29</v>
      </c>
      <c r="X416" t="s">
        <v>4196</v>
      </c>
      <c r="Y416" t="s">
        <v>4201</v>
      </c>
      <c r="Z416" t="s">
        <v>4581</v>
      </c>
      <c r="AB416" t="s">
        <v>5962</v>
      </c>
      <c r="AC416">
        <v>13</v>
      </c>
      <c r="AD416" t="s">
        <v>6772</v>
      </c>
      <c r="AE416" t="s">
        <v>3526</v>
      </c>
      <c r="AF416">
        <v>40</v>
      </c>
      <c r="AG416">
        <v>1</v>
      </c>
      <c r="AH416">
        <v>1</v>
      </c>
      <c r="AI416">
        <v>67.95999999999999</v>
      </c>
      <c r="AL416" t="s">
        <v>6801</v>
      </c>
      <c r="AM416">
        <v>11492</v>
      </c>
      <c r="AO416" t="s">
        <v>6915</v>
      </c>
      <c r="AP416" t="s">
        <v>6926</v>
      </c>
      <c r="AQ416" t="s">
        <v>6945</v>
      </c>
      <c r="AR416" t="s">
        <v>6975</v>
      </c>
    </row>
    <row r="417" spans="1:44">
      <c r="A417" s="1">
        <f>HYPERLINK("https://lsnyc.legalserver.org/matter/dynamic-profile/view/1887538","19-1887538")</f>
        <v>0</v>
      </c>
      <c r="B417" t="s">
        <v>134</v>
      </c>
      <c r="C417" t="s">
        <v>311</v>
      </c>
      <c r="D417" t="s">
        <v>262</v>
      </c>
      <c r="E417" t="s">
        <v>695</v>
      </c>
      <c r="F417" t="s">
        <v>1550</v>
      </c>
      <c r="G417" t="s">
        <v>2491</v>
      </c>
      <c r="H417" t="s">
        <v>3229</v>
      </c>
      <c r="I417" t="s">
        <v>3490</v>
      </c>
      <c r="J417">
        <v>11233</v>
      </c>
      <c r="K417" t="s">
        <v>3522</v>
      </c>
      <c r="L417" t="s">
        <v>3526</v>
      </c>
      <c r="N417" t="s">
        <v>4107</v>
      </c>
      <c r="O417" t="s">
        <v>4134</v>
      </c>
      <c r="P417" t="s">
        <v>4140</v>
      </c>
      <c r="Q417" t="s">
        <v>4147</v>
      </c>
      <c r="R417" t="s">
        <v>3523</v>
      </c>
      <c r="T417" t="s">
        <v>4156</v>
      </c>
      <c r="V417" t="s">
        <v>262</v>
      </c>
      <c r="W417">
        <v>1550</v>
      </c>
      <c r="X417" t="s">
        <v>4193</v>
      </c>
      <c r="Y417" t="s">
        <v>4201</v>
      </c>
      <c r="Z417" t="s">
        <v>4582</v>
      </c>
      <c r="AB417" t="s">
        <v>5963</v>
      </c>
      <c r="AC417">
        <v>0</v>
      </c>
      <c r="AF417">
        <v>9</v>
      </c>
      <c r="AG417">
        <v>2</v>
      </c>
      <c r="AH417">
        <v>0</v>
      </c>
      <c r="AI417">
        <v>68.38</v>
      </c>
      <c r="AL417" t="s">
        <v>6801</v>
      </c>
      <c r="AM417">
        <v>11256</v>
      </c>
      <c r="AO417" t="s">
        <v>6919</v>
      </c>
      <c r="AP417" t="s">
        <v>6930</v>
      </c>
      <c r="AQ417" t="s">
        <v>6945</v>
      </c>
      <c r="AR417" t="s">
        <v>6976</v>
      </c>
    </row>
    <row r="418" spans="1:44">
      <c r="A418" s="1">
        <f>HYPERLINK("https://lsnyc.legalserver.org/matter/dynamic-profile/view/1908571","19-1908571")</f>
        <v>0</v>
      </c>
      <c r="B418" t="s">
        <v>69</v>
      </c>
      <c r="C418" t="s">
        <v>224</v>
      </c>
      <c r="D418" t="s">
        <v>213</v>
      </c>
      <c r="E418" t="s">
        <v>696</v>
      </c>
      <c r="F418" t="s">
        <v>1551</v>
      </c>
      <c r="G418" t="s">
        <v>2492</v>
      </c>
      <c r="H418" t="s">
        <v>3273</v>
      </c>
      <c r="I418" t="s">
        <v>3490</v>
      </c>
      <c r="J418">
        <v>11208</v>
      </c>
      <c r="K418" t="s">
        <v>3522</v>
      </c>
      <c r="L418" t="s">
        <v>3525</v>
      </c>
      <c r="M418" t="s">
        <v>3724</v>
      </c>
      <c r="N418" t="s">
        <v>4107</v>
      </c>
      <c r="O418" t="s">
        <v>4132</v>
      </c>
      <c r="P418" t="s">
        <v>4139</v>
      </c>
      <c r="Q418" t="s">
        <v>4147</v>
      </c>
      <c r="T418" t="s">
        <v>4156</v>
      </c>
      <c r="V418" t="s">
        <v>224</v>
      </c>
      <c r="W418">
        <v>2199.98</v>
      </c>
      <c r="X418" t="s">
        <v>4193</v>
      </c>
      <c r="Y418" t="s">
        <v>4197</v>
      </c>
      <c r="Z418" t="s">
        <v>4583</v>
      </c>
      <c r="AA418" t="s">
        <v>5566</v>
      </c>
      <c r="AB418" t="s">
        <v>5964</v>
      </c>
      <c r="AC418">
        <v>4</v>
      </c>
      <c r="AF418">
        <v>0</v>
      </c>
      <c r="AG418">
        <v>1</v>
      </c>
      <c r="AH418">
        <v>3</v>
      </c>
      <c r="AI418">
        <v>68.66</v>
      </c>
      <c r="AL418" t="s">
        <v>6801</v>
      </c>
      <c r="AM418">
        <v>17680</v>
      </c>
    </row>
    <row r="419" spans="1:44">
      <c r="A419" s="1">
        <f>HYPERLINK("https://lsnyc.legalserver.org/matter/dynamic-profile/view/1905118","19-1905118")</f>
        <v>0</v>
      </c>
      <c r="B419" t="s">
        <v>55</v>
      </c>
      <c r="C419" t="s">
        <v>216</v>
      </c>
      <c r="E419" t="s">
        <v>661</v>
      </c>
      <c r="F419" t="s">
        <v>543</v>
      </c>
      <c r="G419" t="s">
        <v>2493</v>
      </c>
      <c r="H419" t="s">
        <v>3242</v>
      </c>
      <c r="I419" t="s">
        <v>3490</v>
      </c>
      <c r="J419">
        <v>11233</v>
      </c>
      <c r="K419" t="s">
        <v>3522</v>
      </c>
      <c r="L419" t="s">
        <v>3525</v>
      </c>
      <c r="M419" t="s">
        <v>3725</v>
      </c>
      <c r="N419" t="s">
        <v>4109</v>
      </c>
      <c r="O419" t="s">
        <v>4134</v>
      </c>
      <c r="Q419" t="s">
        <v>4147</v>
      </c>
      <c r="R419" t="s">
        <v>3523</v>
      </c>
      <c r="T419" t="s">
        <v>4156</v>
      </c>
      <c r="U419" t="s">
        <v>4168</v>
      </c>
      <c r="V419" t="s">
        <v>241</v>
      </c>
      <c r="W419">
        <v>826</v>
      </c>
      <c r="X419" t="s">
        <v>4193</v>
      </c>
      <c r="Y419" t="s">
        <v>4201</v>
      </c>
      <c r="Z419" t="s">
        <v>4584</v>
      </c>
      <c r="AA419" t="s">
        <v>3562</v>
      </c>
      <c r="AB419" t="s">
        <v>5965</v>
      </c>
      <c r="AC419">
        <v>42</v>
      </c>
      <c r="AD419" t="s">
        <v>6772</v>
      </c>
      <c r="AE419" t="s">
        <v>6791</v>
      </c>
      <c r="AF419">
        <v>14</v>
      </c>
      <c r="AG419">
        <v>1</v>
      </c>
      <c r="AH419">
        <v>0</v>
      </c>
      <c r="AI419">
        <v>68.69</v>
      </c>
      <c r="AL419" t="s">
        <v>6801</v>
      </c>
      <c r="AM419">
        <v>8580</v>
      </c>
    </row>
    <row r="420" spans="1:44">
      <c r="A420" s="1">
        <f>HYPERLINK("https://lsnyc.legalserver.org/matter/dynamic-profile/view/1904778","19-1904778")</f>
        <v>0</v>
      </c>
      <c r="B420" t="s">
        <v>84</v>
      </c>
      <c r="C420" t="s">
        <v>312</v>
      </c>
      <c r="D420" t="s">
        <v>297</v>
      </c>
      <c r="E420" t="s">
        <v>697</v>
      </c>
      <c r="F420" t="s">
        <v>1552</v>
      </c>
      <c r="G420" t="s">
        <v>2494</v>
      </c>
      <c r="H420" t="s">
        <v>3158</v>
      </c>
      <c r="I420" t="s">
        <v>3494</v>
      </c>
      <c r="J420">
        <v>10301</v>
      </c>
      <c r="K420" t="s">
        <v>3522</v>
      </c>
      <c r="L420" t="s">
        <v>3525</v>
      </c>
      <c r="M420" t="s">
        <v>3726</v>
      </c>
      <c r="N420" t="s">
        <v>4107</v>
      </c>
      <c r="O420" t="s">
        <v>4134</v>
      </c>
      <c r="P420" t="s">
        <v>4140</v>
      </c>
      <c r="Q420" t="s">
        <v>4147</v>
      </c>
      <c r="R420" t="s">
        <v>3523</v>
      </c>
      <c r="T420" t="s">
        <v>4161</v>
      </c>
      <c r="U420" t="s">
        <v>4168</v>
      </c>
      <c r="V420" t="s">
        <v>312</v>
      </c>
      <c r="W420">
        <v>243</v>
      </c>
      <c r="X420" t="s">
        <v>4195</v>
      </c>
      <c r="Z420" t="s">
        <v>4585</v>
      </c>
      <c r="AB420" t="s">
        <v>5966</v>
      </c>
      <c r="AC420">
        <v>502</v>
      </c>
      <c r="AD420" t="s">
        <v>6778</v>
      </c>
      <c r="AE420" t="s">
        <v>3526</v>
      </c>
      <c r="AF420">
        <v>3</v>
      </c>
      <c r="AG420">
        <v>1</v>
      </c>
      <c r="AH420">
        <v>0</v>
      </c>
      <c r="AI420">
        <v>68.89</v>
      </c>
      <c r="AL420" t="s">
        <v>6801</v>
      </c>
      <c r="AM420">
        <v>8604</v>
      </c>
      <c r="AO420" t="s">
        <v>6918</v>
      </c>
      <c r="AP420" t="s">
        <v>6931</v>
      </c>
      <c r="AQ420" t="s">
        <v>6946</v>
      </c>
      <c r="AR420" t="s">
        <v>6977</v>
      </c>
    </row>
    <row r="421" spans="1:44">
      <c r="A421" s="1">
        <f>HYPERLINK("https://lsnyc.legalserver.org/matter/dynamic-profile/view/1915418","19-1915418")</f>
        <v>0</v>
      </c>
      <c r="B421" t="s">
        <v>91</v>
      </c>
      <c r="C421" t="s">
        <v>260</v>
      </c>
      <c r="D421" t="s">
        <v>208</v>
      </c>
      <c r="E421" t="s">
        <v>698</v>
      </c>
      <c r="F421" t="s">
        <v>1404</v>
      </c>
      <c r="G421" t="s">
        <v>2495</v>
      </c>
      <c r="H421" t="s">
        <v>3172</v>
      </c>
      <c r="I421" t="s">
        <v>3495</v>
      </c>
      <c r="J421">
        <v>10029</v>
      </c>
      <c r="K421" t="s">
        <v>3522</v>
      </c>
      <c r="L421" t="s">
        <v>3525</v>
      </c>
      <c r="N421" t="s">
        <v>4110</v>
      </c>
      <c r="O421" t="s">
        <v>4137</v>
      </c>
      <c r="P421" t="s">
        <v>4144</v>
      </c>
      <c r="Q421" t="s">
        <v>4147</v>
      </c>
      <c r="R421" t="s">
        <v>3522</v>
      </c>
      <c r="T421" t="s">
        <v>4156</v>
      </c>
      <c r="V421" t="s">
        <v>260</v>
      </c>
      <c r="W421">
        <v>1085</v>
      </c>
      <c r="X421" t="s">
        <v>4196</v>
      </c>
      <c r="Y421" t="s">
        <v>4201</v>
      </c>
      <c r="Z421" t="s">
        <v>4586</v>
      </c>
      <c r="AB421" t="s">
        <v>5482</v>
      </c>
      <c r="AC421">
        <v>10</v>
      </c>
      <c r="AD421" t="s">
        <v>6772</v>
      </c>
      <c r="AE421" t="s">
        <v>3526</v>
      </c>
      <c r="AF421">
        <v>21</v>
      </c>
      <c r="AG421">
        <v>4</v>
      </c>
      <c r="AH421">
        <v>1</v>
      </c>
      <c r="AI421">
        <v>68.94</v>
      </c>
      <c r="AL421" t="s">
        <v>6802</v>
      </c>
      <c r="AM421">
        <v>20800</v>
      </c>
      <c r="AO421" t="s">
        <v>6920</v>
      </c>
      <c r="AQ421" t="s">
        <v>6945</v>
      </c>
      <c r="AR421" t="s">
        <v>6978</v>
      </c>
    </row>
    <row r="422" spans="1:44">
      <c r="A422" s="1">
        <f>HYPERLINK("https://lsnyc.legalserver.org/matter/dynamic-profile/view/1915421","19-1915421")</f>
        <v>0</v>
      </c>
      <c r="B422" t="s">
        <v>91</v>
      </c>
      <c r="C422" t="s">
        <v>260</v>
      </c>
      <c r="D422" t="s">
        <v>325</v>
      </c>
      <c r="E422" t="s">
        <v>698</v>
      </c>
      <c r="F422" t="s">
        <v>1404</v>
      </c>
      <c r="G422" t="s">
        <v>2495</v>
      </c>
      <c r="H422" t="s">
        <v>3172</v>
      </c>
      <c r="I422" t="s">
        <v>3495</v>
      </c>
      <c r="J422">
        <v>10029</v>
      </c>
      <c r="K422" t="s">
        <v>3522</v>
      </c>
      <c r="L422" t="s">
        <v>3525</v>
      </c>
      <c r="N422" t="s">
        <v>4107</v>
      </c>
      <c r="O422" t="s">
        <v>4135</v>
      </c>
      <c r="P422" t="s">
        <v>4142</v>
      </c>
      <c r="Q422" t="s">
        <v>4147</v>
      </c>
      <c r="R422" t="s">
        <v>3523</v>
      </c>
      <c r="T422" t="s">
        <v>4156</v>
      </c>
      <c r="U422" t="s">
        <v>4168</v>
      </c>
      <c r="V422" t="s">
        <v>260</v>
      </c>
      <c r="W422">
        <v>1085</v>
      </c>
      <c r="X422" t="s">
        <v>4196</v>
      </c>
      <c r="Y422" t="s">
        <v>4201</v>
      </c>
      <c r="Z422" t="s">
        <v>4586</v>
      </c>
      <c r="AB422" t="s">
        <v>5482</v>
      </c>
      <c r="AC422">
        <v>10</v>
      </c>
      <c r="AD422" t="s">
        <v>6772</v>
      </c>
      <c r="AE422" t="s">
        <v>3526</v>
      </c>
      <c r="AF422">
        <v>21</v>
      </c>
      <c r="AG422">
        <v>4</v>
      </c>
      <c r="AH422">
        <v>1</v>
      </c>
      <c r="AI422">
        <v>68.94</v>
      </c>
      <c r="AL422" t="s">
        <v>6802</v>
      </c>
      <c r="AM422">
        <v>20800</v>
      </c>
    </row>
    <row r="423" spans="1:44">
      <c r="A423" s="1">
        <f>HYPERLINK("https://lsnyc.legalserver.org/matter/dynamic-profile/view/1915411","19-1915411")</f>
        <v>0</v>
      </c>
      <c r="B423" t="s">
        <v>91</v>
      </c>
      <c r="C423" t="s">
        <v>260</v>
      </c>
      <c r="D423" t="s">
        <v>248</v>
      </c>
      <c r="E423" t="s">
        <v>698</v>
      </c>
      <c r="F423" t="s">
        <v>1404</v>
      </c>
      <c r="G423" t="s">
        <v>2495</v>
      </c>
      <c r="H423" t="s">
        <v>3172</v>
      </c>
      <c r="I423" t="s">
        <v>3495</v>
      </c>
      <c r="J423">
        <v>10029</v>
      </c>
      <c r="K423" t="s">
        <v>3522</v>
      </c>
      <c r="L423" t="s">
        <v>3525</v>
      </c>
      <c r="M423" t="s">
        <v>3727</v>
      </c>
      <c r="N423" t="s">
        <v>4108</v>
      </c>
      <c r="O423" t="s">
        <v>4134</v>
      </c>
      <c r="P423" t="s">
        <v>4140</v>
      </c>
      <c r="Q423" t="s">
        <v>4147</v>
      </c>
      <c r="R423" t="s">
        <v>3522</v>
      </c>
      <c r="T423" t="s">
        <v>4156</v>
      </c>
      <c r="U423" t="s">
        <v>4168</v>
      </c>
      <c r="V423" t="s">
        <v>260</v>
      </c>
      <c r="W423">
        <v>1085</v>
      </c>
      <c r="X423" t="s">
        <v>4196</v>
      </c>
      <c r="Y423" t="s">
        <v>4201</v>
      </c>
      <c r="Z423" t="s">
        <v>4586</v>
      </c>
      <c r="AB423" t="s">
        <v>5482</v>
      </c>
      <c r="AC423">
        <v>10</v>
      </c>
      <c r="AD423" t="s">
        <v>6772</v>
      </c>
      <c r="AE423" t="s">
        <v>3526</v>
      </c>
      <c r="AF423">
        <v>21</v>
      </c>
      <c r="AG423">
        <v>4</v>
      </c>
      <c r="AH423">
        <v>1</v>
      </c>
      <c r="AI423">
        <v>68.94</v>
      </c>
      <c r="AL423" t="s">
        <v>6802</v>
      </c>
      <c r="AM423">
        <v>20800</v>
      </c>
      <c r="AO423" t="s">
        <v>6915</v>
      </c>
      <c r="AP423" t="s">
        <v>6932</v>
      </c>
      <c r="AQ423" t="s">
        <v>6945</v>
      </c>
      <c r="AR423" t="s">
        <v>6954</v>
      </c>
    </row>
    <row r="424" spans="1:44">
      <c r="A424" s="1">
        <f>HYPERLINK("https://lsnyc.legalserver.org/matter/dynamic-profile/view/1910793","19-1910793")</f>
        <v>0</v>
      </c>
      <c r="B424" t="s">
        <v>57</v>
      </c>
      <c r="C424" t="s">
        <v>201</v>
      </c>
      <c r="D424" t="s">
        <v>256</v>
      </c>
      <c r="E424" t="s">
        <v>663</v>
      </c>
      <c r="F424" t="s">
        <v>1553</v>
      </c>
      <c r="G424" t="s">
        <v>2496</v>
      </c>
      <c r="I424" t="s">
        <v>3490</v>
      </c>
      <c r="J424">
        <v>11233</v>
      </c>
      <c r="K424" t="s">
        <v>3522</v>
      </c>
      <c r="L424" t="s">
        <v>3525</v>
      </c>
      <c r="M424" t="s">
        <v>3554</v>
      </c>
      <c r="N424" t="s">
        <v>3554</v>
      </c>
      <c r="O424" t="s">
        <v>4132</v>
      </c>
      <c r="P424" t="s">
        <v>4139</v>
      </c>
      <c r="Q424" t="s">
        <v>4147</v>
      </c>
      <c r="R424" t="s">
        <v>3523</v>
      </c>
      <c r="T424" t="s">
        <v>4156</v>
      </c>
      <c r="U424" t="s">
        <v>4168</v>
      </c>
      <c r="V424" t="s">
        <v>201</v>
      </c>
      <c r="W424">
        <v>330</v>
      </c>
      <c r="X424" t="s">
        <v>4193</v>
      </c>
      <c r="Y424" t="s">
        <v>4207</v>
      </c>
      <c r="Z424" t="s">
        <v>4587</v>
      </c>
      <c r="AA424" t="s">
        <v>5488</v>
      </c>
      <c r="AB424" t="s">
        <v>5967</v>
      </c>
      <c r="AC424">
        <v>27</v>
      </c>
      <c r="AD424" t="s">
        <v>6778</v>
      </c>
      <c r="AE424" t="s">
        <v>6789</v>
      </c>
      <c r="AF424">
        <v>9</v>
      </c>
      <c r="AG424">
        <v>1</v>
      </c>
      <c r="AH424">
        <v>0</v>
      </c>
      <c r="AI424">
        <v>69.18000000000001</v>
      </c>
      <c r="AL424" t="s">
        <v>6801</v>
      </c>
      <c r="AM424">
        <v>8640</v>
      </c>
    </row>
    <row r="425" spans="1:44">
      <c r="A425" s="1">
        <f>HYPERLINK("https://lsnyc.legalserver.org/matter/dynamic-profile/view/1911375","19-1911375")</f>
        <v>0</v>
      </c>
      <c r="B425" t="s">
        <v>61</v>
      </c>
      <c r="C425" t="s">
        <v>313</v>
      </c>
      <c r="D425" t="s">
        <v>267</v>
      </c>
      <c r="E425" t="s">
        <v>663</v>
      </c>
      <c r="F425" t="s">
        <v>1553</v>
      </c>
      <c r="G425" t="s">
        <v>2496</v>
      </c>
      <c r="I425" t="s">
        <v>3490</v>
      </c>
      <c r="J425">
        <v>11233</v>
      </c>
      <c r="K425" t="s">
        <v>3522</v>
      </c>
      <c r="L425" t="s">
        <v>3525</v>
      </c>
      <c r="M425" t="s">
        <v>3553</v>
      </c>
      <c r="N425" t="s">
        <v>3554</v>
      </c>
      <c r="O425" t="s">
        <v>4132</v>
      </c>
      <c r="P425" t="s">
        <v>4139</v>
      </c>
      <c r="Q425" t="s">
        <v>4147</v>
      </c>
      <c r="R425" t="s">
        <v>3523</v>
      </c>
      <c r="T425" t="s">
        <v>4156</v>
      </c>
      <c r="V425" t="s">
        <v>198</v>
      </c>
      <c r="W425">
        <v>330</v>
      </c>
      <c r="X425" t="s">
        <v>4193</v>
      </c>
      <c r="Y425" t="s">
        <v>4207</v>
      </c>
      <c r="Z425" t="s">
        <v>4587</v>
      </c>
      <c r="AA425" t="s">
        <v>5567</v>
      </c>
      <c r="AB425" t="s">
        <v>5967</v>
      </c>
      <c r="AC425">
        <v>27</v>
      </c>
      <c r="AD425" t="s">
        <v>6778</v>
      </c>
      <c r="AE425" t="s">
        <v>6789</v>
      </c>
      <c r="AF425">
        <v>9</v>
      </c>
      <c r="AG425">
        <v>1</v>
      </c>
      <c r="AH425">
        <v>0</v>
      </c>
      <c r="AI425">
        <v>69.18000000000001</v>
      </c>
      <c r="AL425" t="s">
        <v>6801</v>
      </c>
      <c r="AM425">
        <v>8640</v>
      </c>
    </row>
    <row r="426" spans="1:44">
      <c r="A426" s="1">
        <f>HYPERLINK("https://lsnyc.legalserver.org/matter/dynamic-profile/view/1913022","19-1913022")</f>
        <v>0</v>
      </c>
      <c r="B426" t="s">
        <v>99</v>
      </c>
      <c r="C426" t="s">
        <v>314</v>
      </c>
      <c r="E426" t="s">
        <v>672</v>
      </c>
      <c r="F426" t="s">
        <v>1554</v>
      </c>
      <c r="G426" t="s">
        <v>2497</v>
      </c>
      <c r="H426" t="s">
        <v>3274</v>
      </c>
      <c r="I426" t="s">
        <v>3495</v>
      </c>
      <c r="J426">
        <v>10065</v>
      </c>
      <c r="K426" t="s">
        <v>3522</v>
      </c>
      <c r="L426" t="s">
        <v>3525</v>
      </c>
      <c r="N426" t="s">
        <v>4112</v>
      </c>
      <c r="O426" t="s">
        <v>4133</v>
      </c>
      <c r="Q426" t="s">
        <v>4147</v>
      </c>
      <c r="R426" t="s">
        <v>3523</v>
      </c>
      <c r="T426" t="s">
        <v>4162</v>
      </c>
      <c r="U426" t="s">
        <v>4168</v>
      </c>
      <c r="V426" t="s">
        <v>196</v>
      </c>
      <c r="W426">
        <v>1071.34</v>
      </c>
      <c r="X426" t="s">
        <v>4196</v>
      </c>
      <c r="Y426" t="s">
        <v>4201</v>
      </c>
      <c r="Z426" t="s">
        <v>4588</v>
      </c>
      <c r="AB426" t="s">
        <v>5968</v>
      </c>
      <c r="AC426">
        <v>45</v>
      </c>
      <c r="AD426" t="s">
        <v>6772</v>
      </c>
      <c r="AF426">
        <v>4</v>
      </c>
      <c r="AG426">
        <v>1</v>
      </c>
      <c r="AH426">
        <v>0</v>
      </c>
      <c r="AI426">
        <v>69.18000000000001</v>
      </c>
      <c r="AL426" t="s">
        <v>6801</v>
      </c>
      <c r="AM426">
        <v>8640</v>
      </c>
    </row>
    <row r="427" spans="1:44">
      <c r="A427" s="1">
        <f>HYPERLINK("https://lsnyc.legalserver.org/matter/dynamic-profile/view/1912726","19-1912726")</f>
        <v>0</v>
      </c>
      <c r="B427" t="s">
        <v>69</v>
      </c>
      <c r="C427" t="s">
        <v>287</v>
      </c>
      <c r="D427" t="s">
        <v>213</v>
      </c>
      <c r="E427" t="s">
        <v>699</v>
      </c>
      <c r="F427" t="s">
        <v>1555</v>
      </c>
      <c r="G427" t="s">
        <v>2498</v>
      </c>
      <c r="H427" t="s">
        <v>3219</v>
      </c>
      <c r="I427" t="s">
        <v>3490</v>
      </c>
      <c r="J427">
        <v>11212</v>
      </c>
      <c r="K427" t="s">
        <v>3522</v>
      </c>
      <c r="L427" t="s">
        <v>3525</v>
      </c>
      <c r="M427" t="s">
        <v>3728</v>
      </c>
      <c r="N427" t="s">
        <v>4109</v>
      </c>
      <c r="O427" t="s">
        <v>4132</v>
      </c>
      <c r="P427" t="s">
        <v>4139</v>
      </c>
      <c r="Q427" t="s">
        <v>4147</v>
      </c>
      <c r="R427" t="s">
        <v>3523</v>
      </c>
      <c r="T427" t="s">
        <v>4156</v>
      </c>
      <c r="U427" t="s">
        <v>4168</v>
      </c>
      <c r="V427" t="s">
        <v>256</v>
      </c>
      <c r="W427">
        <v>1450</v>
      </c>
      <c r="X427" t="s">
        <v>4193</v>
      </c>
      <c r="Y427" t="s">
        <v>4203</v>
      </c>
      <c r="Z427" t="s">
        <v>4589</v>
      </c>
      <c r="AA427" t="s">
        <v>5568</v>
      </c>
      <c r="AB427" t="s">
        <v>5969</v>
      </c>
      <c r="AC427">
        <v>43</v>
      </c>
      <c r="AD427" t="s">
        <v>6772</v>
      </c>
      <c r="AE427" t="s">
        <v>3526</v>
      </c>
      <c r="AF427">
        <v>4</v>
      </c>
      <c r="AG427">
        <v>1</v>
      </c>
      <c r="AH427">
        <v>3</v>
      </c>
      <c r="AI427">
        <v>69.27</v>
      </c>
      <c r="AL427" t="s">
        <v>6801</v>
      </c>
      <c r="AM427">
        <v>17836</v>
      </c>
    </row>
    <row r="428" spans="1:44">
      <c r="A428" s="1">
        <f>HYPERLINK("https://lsnyc.legalserver.org/matter/dynamic-profile/view/1910142","19-1910142")</f>
        <v>0</v>
      </c>
      <c r="B428" t="s">
        <v>81</v>
      </c>
      <c r="C428" t="s">
        <v>230</v>
      </c>
      <c r="E428" t="s">
        <v>520</v>
      </c>
      <c r="F428" t="s">
        <v>1379</v>
      </c>
      <c r="G428" t="s">
        <v>2499</v>
      </c>
      <c r="H428" t="s">
        <v>3189</v>
      </c>
      <c r="I428" t="s">
        <v>3493</v>
      </c>
      <c r="J428">
        <v>10452</v>
      </c>
      <c r="K428" t="s">
        <v>3522</v>
      </c>
      <c r="L428" t="s">
        <v>3525</v>
      </c>
      <c r="M428" t="s">
        <v>3729</v>
      </c>
      <c r="N428" t="s">
        <v>4109</v>
      </c>
      <c r="O428" t="s">
        <v>4132</v>
      </c>
      <c r="Q428" t="s">
        <v>4147</v>
      </c>
      <c r="R428" t="s">
        <v>3523</v>
      </c>
      <c r="T428" t="s">
        <v>4156</v>
      </c>
      <c r="V428" t="s">
        <v>196</v>
      </c>
      <c r="W428">
        <v>1169.2</v>
      </c>
      <c r="X428" t="s">
        <v>4194</v>
      </c>
      <c r="Y428" t="s">
        <v>4206</v>
      </c>
      <c r="Z428" t="s">
        <v>4590</v>
      </c>
      <c r="AB428" t="s">
        <v>5970</v>
      </c>
      <c r="AC428">
        <v>61</v>
      </c>
      <c r="AE428" t="s">
        <v>6791</v>
      </c>
      <c r="AF428">
        <v>30</v>
      </c>
      <c r="AG428">
        <v>2</v>
      </c>
      <c r="AH428">
        <v>0</v>
      </c>
      <c r="AI428">
        <v>69.47</v>
      </c>
      <c r="AL428" t="s">
        <v>6802</v>
      </c>
      <c r="AM428">
        <v>11748</v>
      </c>
    </row>
    <row r="429" spans="1:44">
      <c r="A429" s="1">
        <f>HYPERLINK("https://lsnyc.legalserver.org/matter/dynamic-profile/view/1910966","19-1910966")</f>
        <v>0</v>
      </c>
      <c r="B429" t="s">
        <v>46</v>
      </c>
      <c r="C429" t="s">
        <v>198</v>
      </c>
      <c r="E429" t="s">
        <v>700</v>
      </c>
      <c r="F429" t="s">
        <v>1451</v>
      </c>
      <c r="G429" t="s">
        <v>2500</v>
      </c>
      <c r="H429" t="s">
        <v>3275</v>
      </c>
      <c r="I429" t="s">
        <v>3480</v>
      </c>
      <c r="J429">
        <v>11435</v>
      </c>
      <c r="K429" t="s">
        <v>3522</v>
      </c>
      <c r="L429" t="s">
        <v>3525</v>
      </c>
      <c r="N429" t="s">
        <v>3554</v>
      </c>
      <c r="O429" t="s">
        <v>4132</v>
      </c>
      <c r="Q429" t="s">
        <v>4148</v>
      </c>
      <c r="R429" t="s">
        <v>3523</v>
      </c>
      <c r="T429" t="s">
        <v>4156</v>
      </c>
      <c r="V429" t="s">
        <v>214</v>
      </c>
      <c r="W429">
        <v>1800</v>
      </c>
      <c r="X429" t="s">
        <v>4192</v>
      </c>
      <c r="Y429" t="s">
        <v>4199</v>
      </c>
      <c r="Z429" t="s">
        <v>4591</v>
      </c>
      <c r="AB429" t="s">
        <v>5971</v>
      </c>
      <c r="AC429">
        <v>2</v>
      </c>
      <c r="AD429" t="s">
        <v>6771</v>
      </c>
      <c r="AF429">
        <v>1</v>
      </c>
      <c r="AG429">
        <v>1</v>
      </c>
      <c r="AH429">
        <v>0</v>
      </c>
      <c r="AI429">
        <v>69.58</v>
      </c>
      <c r="AJ429" t="s">
        <v>6795</v>
      </c>
      <c r="AK429" t="s">
        <v>6798</v>
      </c>
      <c r="AL429" t="s">
        <v>6801</v>
      </c>
      <c r="AM429">
        <v>8690</v>
      </c>
    </row>
    <row r="430" spans="1:44">
      <c r="A430" s="1">
        <f>HYPERLINK("https://lsnyc.legalserver.org/matter/dynamic-profile/view/1915887","19-1915887")</f>
        <v>0</v>
      </c>
      <c r="B430" t="s">
        <v>108</v>
      </c>
      <c r="C430" t="s">
        <v>220</v>
      </c>
      <c r="E430" t="s">
        <v>701</v>
      </c>
      <c r="F430" t="s">
        <v>1556</v>
      </c>
      <c r="G430" t="s">
        <v>2501</v>
      </c>
      <c r="H430" t="s">
        <v>3216</v>
      </c>
      <c r="I430" t="s">
        <v>3491</v>
      </c>
      <c r="J430">
        <v>11105</v>
      </c>
      <c r="K430" t="s">
        <v>3522</v>
      </c>
      <c r="L430" t="s">
        <v>3525</v>
      </c>
      <c r="M430" t="s">
        <v>3730</v>
      </c>
      <c r="N430" t="s">
        <v>4109</v>
      </c>
      <c r="O430" t="s">
        <v>4134</v>
      </c>
      <c r="Q430" t="s">
        <v>4147</v>
      </c>
      <c r="R430" t="s">
        <v>3523</v>
      </c>
      <c r="T430" t="s">
        <v>4156</v>
      </c>
      <c r="U430" t="s">
        <v>4168</v>
      </c>
      <c r="V430" t="s">
        <v>242</v>
      </c>
      <c r="W430">
        <v>1069</v>
      </c>
      <c r="X430" t="s">
        <v>4192</v>
      </c>
      <c r="Y430" t="s">
        <v>4197</v>
      </c>
      <c r="Z430" t="s">
        <v>4592</v>
      </c>
      <c r="AA430" t="s">
        <v>5569</v>
      </c>
      <c r="AB430" t="s">
        <v>5972</v>
      </c>
      <c r="AC430">
        <v>30</v>
      </c>
      <c r="AD430" t="s">
        <v>5524</v>
      </c>
      <c r="AE430" t="s">
        <v>6790</v>
      </c>
      <c r="AF430">
        <v>45</v>
      </c>
      <c r="AG430">
        <v>1</v>
      </c>
      <c r="AH430">
        <v>0</v>
      </c>
      <c r="AI430">
        <v>69.84999999999999</v>
      </c>
      <c r="AL430" t="s">
        <v>6801</v>
      </c>
      <c r="AM430">
        <v>8724</v>
      </c>
    </row>
    <row r="431" spans="1:44">
      <c r="A431" s="1">
        <f>HYPERLINK("https://lsnyc.legalserver.org/matter/dynamic-profile/view/1909410","19-1909410")</f>
        <v>0</v>
      </c>
      <c r="B431" t="s">
        <v>87</v>
      </c>
      <c r="C431" t="s">
        <v>247</v>
      </c>
      <c r="E431" t="s">
        <v>702</v>
      </c>
      <c r="F431" t="s">
        <v>1516</v>
      </c>
      <c r="G431" t="s">
        <v>2502</v>
      </c>
      <c r="H431" t="s">
        <v>3180</v>
      </c>
      <c r="I431" t="s">
        <v>3495</v>
      </c>
      <c r="J431">
        <v>10040</v>
      </c>
      <c r="K431" t="s">
        <v>3522</v>
      </c>
      <c r="L431" t="s">
        <v>3525</v>
      </c>
      <c r="N431" t="s">
        <v>4108</v>
      </c>
      <c r="O431" t="s">
        <v>4134</v>
      </c>
      <c r="Q431" t="s">
        <v>4147</v>
      </c>
      <c r="R431" t="s">
        <v>3522</v>
      </c>
      <c r="T431" t="s">
        <v>4156</v>
      </c>
      <c r="V431" t="s">
        <v>247</v>
      </c>
      <c r="W431">
        <v>1860.63</v>
      </c>
      <c r="X431" t="s">
        <v>4196</v>
      </c>
      <c r="Y431" t="s">
        <v>4205</v>
      </c>
      <c r="Z431" t="s">
        <v>4593</v>
      </c>
      <c r="AB431" t="s">
        <v>5973</v>
      </c>
      <c r="AC431">
        <v>77</v>
      </c>
      <c r="AD431" t="s">
        <v>6772</v>
      </c>
      <c r="AE431" t="s">
        <v>3526</v>
      </c>
      <c r="AF431">
        <v>4</v>
      </c>
      <c r="AG431">
        <v>2</v>
      </c>
      <c r="AH431">
        <v>2</v>
      </c>
      <c r="AI431">
        <v>69.90000000000001</v>
      </c>
      <c r="AL431" t="s">
        <v>6802</v>
      </c>
      <c r="AM431">
        <v>18000</v>
      </c>
    </row>
    <row r="432" spans="1:44">
      <c r="A432" s="1">
        <f>HYPERLINK("https://lsnyc.legalserver.org/matter/dynamic-profile/view/1906099","19-1906099")</f>
        <v>0</v>
      </c>
      <c r="B432" t="s">
        <v>86</v>
      </c>
      <c r="C432" t="s">
        <v>207</v>
      </c>
      <c r="E432" t="s">
        <v>703</v>
      </c>
      <c r="F432" t="s">
        <v>1557</v>
      </c>
      <c r="G432" t="s">
        <v>2503</v>
      </c>
      <c r="H432" t="s">
        <v>3141</v>
      </c>
      <c r="I432" t="s">
        <v>3495</v>
      </c>
      <c r="J432">
        <v>10034</v>
      </c>
      <c r="K432" t="s">
        <v>3522</v>
      </c>
      <c r="L432" t="s">
        <v>3525</v>
      </c>
      <c r="N432" t="s">
        <v>4113</v>
      </c>
      <c r="O432" t="s">
        <v>4135</v>
      </c>
      <c r="Q432" t="s">
        <v>4147</v>
      </c>
      <c r="R432" t="s">
        <v>3523</v>
      </c>
      <c r="T432" t="s">
        <v>4156</v>
      </c>
      <c r="V432" t="s">
        <v>207</v>
      </c>
      <c r="W432">
        <v>175</v>
      </c>
      <c r="X432" t="s">
        <v>4196</v>
      </c>
      <c r="Z432" t="s">
        <v>4594</v>
      </c>
      <c r="AB432" t="s">
        <v>5974</v>
      </c>
      <c r="AC432">
        <v>30</v>
      </c>
      <c r="AD432" t="s">
        <v>6772</v>
      </c>
      <c r="AE432" t="s">
        <v>3526</v>
      </c>
      <c r="AF432">
        <v>6</v>
      </c>
      <c r="AG432">
        <v>1</v>
      </c>
      <c r="AH432">
        <v>0</v>
      </c>
      <c r="AI432">
        <v>69.97</v>
      </c>
      <c r="AL432" t="s">
        <v>6801</v>
      </c>
      <c r="AM432">
        <v>8739</v>
      </c>
    </row>
    <row r="433" spans="1:44">
      <c r="A433" s="1">
        <f>HYPERLINK("https://lsnyc.legalserver.org/matter/dynamic-profile/view/1903442","19-1903442")</f>
        <v>0</v>
      </c>
      <c r="B433" t="s">
        <v>79</v>
      </c>
      <c r="C433" t="s">
        <v>315</v>
      </c>
      <c r="D433" t="s">
        <v>299</v>
      </c>
      <c r="E433" t="s">
        <v>704</v>
      </c>
      <c r="F433" t="s">
        <v>1519</v>
      </c>
      <c r="G433" t="s">
        <v>2384</v>
      </c>
      <c r="H433" t="s">
        <v>3276</v>
      </c>
      <c r="I433" t="s">
        <v>3493</v>
      </c>
      <c r="J433">
        <v>10453</v>
      </c>
      <c r="K433" t="s">
        <v>3522</v>
      </c>
      <c r="L433" t="s">
        <v>3527</v>
      </c>
      <c r="M433" t="s">
        <v>3731</v>
      </c>
      <c r="N433" t="s">
        <v>4109</v>
      </c>
      <c r="O433" t="s">
        <v>4132</v>
      </c>
      <c r="P433" t="s">
        <v>4139</v>
      </c>
      <c r="Q433" t="s">
        <v>4147</v>
      </c>
      <c r="T433" t="s">
        <v>4156</v>
      </c>
      <c r="V433" t="s">
        <v>214</v>
      </c>
      <c r="W433">
        <v>300</v>
      </c>
      <c r="X433" t="s">
        <v>4194</v>
      </c>
      <c r="Y433" t="s">
        <v>4214</v>
      </c>
      <c r="Z433" t="s">
        <v>4595</v>
      </c>
      <c r="AA433" t="s">
        <v>5570</v>
      </c>
      <c r="AB433" t="s">
        <v>5975</v>
      </c>
      <c r="AC433">
        <v>80</v>
      </c>
      <c r="AD433" t="s">
        <v>6772</v>
      </c>
      <c r="AE433" t="s">
        <v>3526</v>
      </c>
      <c r="AF433">
        <v>14</v>
      </c>
      <c r="AG433">
        <v>1</v>
      </c>
      <c r="AH433">
        <v>0</v>
      </c>
      <c r="AI433">
        <v>70.14</v>
      </c>
      <c r="AL433" t="s">
        <v>6801</v>
      </c>
      <c r="AM433">
        <v>8760</v>
      </c>
      <c r="AN433" t="s">
        <v>6847</v>
      </c>
    </row>
    <row r="434" spans="1:44">
      <c r="A434" s="1">
        <f>HYPERLINK("https://lsnyc.legalserver.org/matter/dynamic-profile/view/1907025","19-1907025")</f>
        <v>0</v>
      </c>
      <c r="B434" t="s">
        <v>51</v>
      </c>
      <c r="C434" t="s">
        <v>244</v>
      </c>
      <c r="E434" t="s">
        <v>705</v>
      </c>
      <c r="F434" t="s">
        <v>1558</v>
      </c>
      <c r="G434" t="s">
        <v>2504</v>
      </c>
      <c r="H434" t="s">
        <v>3180</v>
      </c>
      <c r="I434" t="s">
        <v>3490</v>
      </c>
      <c r="J434">
        <v>11225</v>
      </c>
      <c r="K434" t="s">
        <v>3522</v>
      </c>
      <c r="L434" t="s">
        <v>3525</v>
      </c>
      <c r="M434" t="s">
        <v>3732</v>
      </c>
      <c r="N434" t="s">
        <v>4126</v>
      </c>
      <c r="O434" t="s">
        <v>4134</v>
      </c>
      <c r="Q434" t="s">
        <v>4147</v>
      </c>
      <c r="R434" t="s">
        <v>3523</v>
      </c>
      <c r="T434" t="s">
        <v>4156</v>
      </c>
      <c r="V434" t="s">
        <v>244</v>
      </c>
      <c r="W434">
        <v>1450</v>
      </c>
      <c r="X434" t="s">
        <v>4193</v>
      </c>
      <c r="Z434" t="s">
        <v>4596</v>
      </c>
      <c r="AB434" t="s">
        <v>5976</v>
      </c>
      <c r="AC434">
        <v>72</v>
      </c>
      <c r="AF434">
        <v>31</v>
      </c>
      <c r="AG434">
        <v>3</v>
      </c>
      <c r="AH434">
        <v>0</v>
      </c>
      <c r="AI434">
        <v>70.31999999999999</v>
      </c>
      <c r="AL434" t="s">
        <v>6801</v>
      </c>
      <c r="AM434">
        <v>15000</v>
      </c>
    </row>
    <row r="435" spans="1:44">
      <c r="A435" s="1">
        <f>HYPERLINK("https://lsnyc.legalserver.org/matter/dynamic-profile/view/1906349","19-1906349")</f>
        <v>0</v>
      </c>
      <c r="B435" t="s">
        <v>60</v>
      </c>
      <c r="C435" t="s">
        <v>276</v>
      </c>
      <c r="D435" t="s">
        <v>233</v>
      </c>
      <c r="E435" t="s">
        <v>706</v>
      </c>
      <c r="F435" t="s">
        <v>1559</v>
      </c>
      <c r="G435" t="s">
        <v>2505</v>
      </c>
      <c r="H435">
        <v>2</v>
      </c>
      <c r="I435" t="s">
        <v>3490</v>
      </c>
      <c r="J435">
        <v>11208</v>
      </c>
      <c r="K435" t="s">
        <v>3522</v>
      </c>
      <c r="L435" t="s">
        <v>3525</v>
      </c>
      <c r="M435" t="s">
        <v>3733</v>
      </c>
      <c r="N435" t="s">
        <v>4109</v>
      </c>
      <c r="O435" t="s">
        <v>4135</v>
      </c>
      <c r="P435" t="s">
        <v>4142</v>
      </c>
      <c r="Q435" t="s">
        <v>4147</v>
      </c>
      <c r="R435" t="s">
        <v>3523</v>
      </c>
      <c r="T435" t="s">
        <v>4156</v>
      </c>
      <c r="U435" t="s">
        <v>4168</v>
      </c>
      <c r="V435" t="s">
        <v>235</v>
      </c>
      <c r="W435">
        <v>1500</v>
      </c>
      <c r="X435" t="s">
        <v>4193</v>
      </c>
      <c r="Y435" t="s">
        <v>4197</v>
      </c>
      <c r="Z435" t="s">
        <v>4597</v>
      </c>
      <c r="AA435" t="s">
        <v>5524</v>
      </c>
      <c r="AB435" t="s">
        <v>5977</v>
      </c>
      <c r="AC435">
        <v>4</v>
      </c>
      <c r="AD435" t="s">
        <v>6771</v>
      </c>
      <c r="AE435" t="s">
        <v>6793</v>
      </c>
      <c r="AF435">
        <v>5</v>
      </c>
      <c r="AG435">
        <v>1</v>
      </c>
      <c r="AH435">
        <v>2</v>
      </c>
      <c r="AI435">
        <v>70.31999999999999</v>
      </c>
      <c r="AL435" t="s">
        <v>6801</v>
      </c>
      <c r="AM435">
        <v>15000</v>
      </c>
      <c r="AQ435" t="s">
        <v>6945</v>
      </c>
      <c r="AR435" t="s">
        <v>6979</v>
      </c>
    </row>
    <row r="436" spans="1:44">
      <c r="A436" s="1">
        <f>HYPERLINK("https://lsnyc.legalserver.org/matter/dynamic-profile/view/1903677","19-1903677")</f>
        <v>0</v>
      </c>
      <c r="B436" t="s">
        <v>120</v>
      </c>
      <c r="C436" t="s">
        <v>259</v>
      </c>
      <c r="E436" t="s">
        <v>707</v>
      </c>
      <c r="F436" t="s">
        <v>1268</v>
      </c>
      <c r="G436" t="s">
        <v>2506</v>
      </c>
      <c r="H436" t="s">
        <v>3149</v>
      </c>
      <c r="I436" t="s">
        <v>3494</v>
      </c>
      <c r="J436">
        <v>10301</v>
      </c>
      <c r="K436" t="s">
        <v>3522</v>
      </c>
      <c r="L436" t="s">
        <v>3525</v>
      </c>
      <c r="M436" t="s">
        <v>3734</v>
      </c>
      <c r="N436" t="s">
        <v>4109</v>
      </c>
      <c r="O436" t="s">
        <v>4134</v>
      </c>
      <c r="Q436" t="s">
        <v>4147</v>
      </c>
      <c r="R436" t="s">
        <v>3523</v>
      </c>
      <c r="T436" t="s">
        <v>4156</v>
      </c>
      <c r="U436" t="s">
        <v>4168</v>
      </c>
      <c r="V436" t="s">
        <v>259</v>
      </c>
      <c r="W436">
        <v>1515</v>
      </c>
      <c r="X436" t="s">
        <v>4195</v>
      </c>
      <c r="Y436" t="s">
        <v>4212</v>
      </c>
      <c r="Z436" t="s">
        <v>4598</v>
      </c>
      <c r="AB436" t="s">
        <v>5978</v>
      </c>
      <c r="AC436">
        <v>11</v>
      </c>
      <c r="AD436" t="s">
        <v>6772</v>
      </c>
      <c r="AE436" t="s">
        <v>6787</v>
      </c>
      <c r="AF436">
        <v>1</v>
      </c>
      <c r="AG436">
        <v>1</v>
      </c>
      <c r="AH436">
        <v>2</v>
      </c>
      <c r="AI436">
        <v>70.31999999999999</v>
      </c>
      <c r="AL436" t="s">
        <v>6801</v>
      </c>
      <c r="AM436">
        <v>15000</v>
      </c>
    </row>
    <row r="437" spans="1:44">
      <c r="A437" s="1">
        <f>HYPERLINK("https://lsnyc.legalserver.org/matter/dynamic-profile/view/1904384","19-1904384")</f>
        <v>0</v>
      </c>
      <c r="B437" t="s">
        <v>135</v>
      </c>
      <c r="C437" t="s">
        <v>272</v>
      </c>
      <c r="E437" t="s">
        <v>708</v>
      </c>
      <c r="F437" t="s">
        <v>1560</v>
      </c>
      <c r="G437" t="s">
        <v>2507</v>
      </c>
      <c r="H437" t="s">
        <v>3158</v>
      </c>
      <c r="I437" t="s">
        <v>3494</v>
      </c>
      <c r="J437">
        <v>10304</v>
      </c>
      <c r="K437" t="s">
        <v>3522</v>
      </c>
      <c r="L437" t="s">
        <v>3525</v>
      </c>
      <c r="M437" t="s">
        <v>3529</v>
      </c>
      <c r="N437" t="s">
        <v>3554</v>
      </c>
      <c r="O437" t="s">
        <v>4133</v>
      </c>
      <c r="Q437" t="s">
        <v>4147</v>
      </c>
      <c r="R437" t="s">
        <v>3523</v>
      </c>
      <c r="T437" t="s">
        <v>4156</v>
      </c>
      <c r="U437" t="s">
        <v>4168</v>
      </c>
      <c r="V437" t="s">
        <v>272</v>
      </c>
      <c r="W437">
        <v>890</v>
      </c>
      <c r="X437" t="s">
        <v>4195</v>
      </c>
      <c r="Y437" t="s">
        <v>4201</v>
      </c>
      <c r="Z437" t="s">
        <v>4599</v>
      </c>
      <c r="AB437" t="s">
        <v>5979</v>
      </c>
      <c r="AC437">
        <v>104</v>
      </c>
      <c r="AD437" t="s">
        <v>6772</v>
      </c>
      <c r="AE437" t="s">
        <v>6786</v>
      </c>
      <c r="AF437">
        <v>31</v>
      </c>
      <c r="AG437">
        <v>1</v>
      </c>
      <c r="AH437">
        <v>0</v>
      </c>
      <c r="AI437">
        <v>70.52</v>
      </c>
      <c r="AL437" t="s">
        <v>6801</v>
      </c>
      <c r="AM437">
        <v>8808</v>
      </c>
    </row>
    <row r="438" spans="1:44">
      <c r="A438" s="1">
        <f>HYPERLINK("https://lsnyc.legalserver.org/matter/dynamic-profile/view/1915426","19-1915426")</f>
        <v>0</v>
      </c>
      <c r="B438" t="s">
        <v>91</v>
      </c>
      <c r="C438" t="s">
        <v>260</v>
      </c>
      <c r="D438" t="s">
        <v>189</v>
      </c>
      <c r="E438" t="s">
        <v>709</v>
      </c>
      <c r="F438" t="s">
        <v>1283</v>
      </c>
      <c r="G438" t="s">
        <v>2332</v>
      </c>
      <c r="H438">
        <v>411</v>
      </c>
      <c r="I438" t="s">
        <v>3495</v>
      </c>
      <c r="J438">
        <v>10029</v>
      </c>
      <c r="K438" t="s">
        <v>3522</v>
      </c>
      <c r="L438" t="s">
        <v>3525</v>
      </c>
      <c r="M438" t="s">
        <v>3735</v>
      </c>
      <c r="N438" t="s">
        <v>4108</v>
      </c>
      <c r="O438" t="s">
        <v>4134</v>
      </c>
      <c r="P438" t="s">
        <v>4140</v>
      </c>
      <c r="Q438" t="s">
        <v>4147</v>
      </c>
      <c r="R438" t="s">
        <v>3522</v>
      </c>
      <c r="T438" t="s">
        <v>4156</v>
      </c>
      <c r="U438" t="s">
        <v>4168</v>
      </c>
      <c r="V438" t="s">
        <v>260</v>
      </c>
      <c r="W438">
        <v>138</v>
      </c>
      <c r="X438" t="s">
        <v>4196</v>
      </c>
      <c r="Y438" t="s">
        <v>4201</v>
      </c>
      <c r="Z438" t="s">
        <v>4600</v>
      </c>
      <c r="AC438">
        <v>135</v>
      </c>
      <c r="AD438" t="s">
        <v>6772</v>
      </c>
      <c r="AE438" t="s">
        <v>6786</v>
      </c>
      <c r="AF438">
        <v>36</v>
      </c>
      <c r="AG438">
        <v>2</v>
      </c>
      <c r="AH438">
        <v>0</v>
      </c>
      <c r="AI438">
        <v>70.54000000000001</v>
      </c>
      <c r="AL438" t="s">
        <v>6802</v>
      </c>
      <c r="AM438">
        <v>11928</v>
      </c>
      <c r="AP438" t="s">
        <v>6933</v>
      </c>
      <c r="AQ438" t="s">
        <v>6945</v>
      </c>
      <c r="AR438" t="s">
        <v>6960</v>
      </c>
    </row>
    <row r="439" spans="1:44">
      <c r="A439" s="1">
        <f>HYPERLINK("https://lsnyc.legalserver.org/matter/dynamic-profile/view/1913806","19-1913806")</f>
        <v>0</v>
      </c>
      <c r="B439" t="s">
        <v>91</v>
      </c>
      <c r="C439" t="s">
        <v>199</v>
      </c>
      <c r="E439" t="s">
        <v>709</v>
      </c>
      <c r="F439" t="s">
        <v>1283</v>
      </c>
      <c r="G439" t="s">
        <v>2332</v>
      </c>
      <c r="H439">
        <v>411</v>
      </c>
      <c r="I439" t="s">
        <v>3495</v>
      </c>
      <c r="J439">
        <v>10029</v>
      </c>
      <c r="K439" t="s">
        <v>3522</v>
      </c>
      <c r="L439" t="s">
        <v>3525</v>
      </c>
      <c r="N439" t="s">
        <v>3554</v>
      </c>
      <c r="O439" t="s">
        <v>4135</v>
      </c>
      <c r="Q439" t="s">
        <v>4147</v>
      </c>
      <c r="R439" t="s">
        <v>3522</v>
      </c>
      <c r="T439" t="s">
        <v>4156</v>
      </c>
      <c r="U439" t="s">
        <v>4168</v>
      </c>
      <c r="V439" t="s">
        <v>238</v>
      </c>
      <c r="W439">
        <v>138</v>
      </c>
      <c r="X439" t="s">
        <v>4196</v>
      </c>
      <c r="Y439" t="s">
        <v>4198</v>
      </c>
      <c r="Z439" t="s">
        <v>4600</v>
      </c>
      <c r="AC439">
        <v>135</v>
      </c>
      <c r="AD439" t="s">
        <v>6772</v>
      </c>
      <c r="AE439" t="s">
        <v>6786</v>
      </c>
      <c r="AF439">
        <v>36</v>
      </c>
      <c r="AG439">
        <v>2</v>
      </c>
      <c r="AH439">
        <v>0</v>
      </c>
      <c r="AI439">
        <v>70.54000000000001</v>
      </c>
      <c r="AL439" t="s">
        <v>6802</v>
      </c>
      <c r="AM439">
        <v>11928</v>
      </c>
    </row>
    <row r="440" spans="1:44">
      <c r="A440" s="1">
        <f>HYPERLINK("https://lsnyc.legalserver.org/matter/dynamic-profile/view/1915424","19-1915424")</f>
        <v>0</v>
      </c>
      <c r="B440" t="s">
        <v>91</v>
      </c>
      <c r="C440" t="s">
        <v>260</v>
      </c>
      <c r="D440" t="s">
        <v>200</v>
      </c>
      <c r="E440" t="s">
        <v>709</v>
      </c>
      <c r="F440" t="s">
        <v>1283</v>
      </c>
      <c r="G440" t="s">
        <v>2332</v>
      </c>
      <c r="H440">
        <v>411</v>
      </c>
      <c r="I440" t="s">
        <v>3495</v>
      </c>
      <c r="J440">
        <v>10029</v>
      </c>
      <c r="K440" t="s">
        <v>3522</v>
      </c>
      <c r="L440" t="s">
        <v>3525</v>
      </c>
      <c r="N440" t="s">
        <v>4109</v>
      </c>
      <c r="O440" t="s">
        <v>4135</v>
      </c>
      <c r="P440" t="s">
        <v>4142</v>
      </c>
      <c r="Q440" t="s">
        <v>4147</v>
      </c>
      <c r="R440" t="s">
        <v>3523</v>
      </c>
      <c r="T440" t="s">
        <v>4156</v>
      </c>
      <c r="U440" t="s">
        <v>4168</v>
      </c>
      <c r="V440" t="s">
        <v>260</v>
      </c>
      <c r="W440">
        <v>138</v>
      </c>
      <c r="X440" t="s">
        <v>4196</v>
      </c>
      <c r="Y440" t="s">
        <v>4201</v>
      </c>
      <c r="Z440" t="s">
        <v>4600</v>
      </c>
      <c r="AC440">
        <v>135</v>
      </c>
      <c r="AD440" t="s">
        <v>6772</v>
      </c>
      <c r="AE440" t="s">
        <v>6786</v>
      </c>
      <c r="AF440">
        <v>36</v>
      </c>
      <c r="AG440">
        <v>2</v>
      </c>
      <c r="AH440">
        <v>0</v>
      </c>
      <c r="AI440">
        <v>70.54000000000001</v>
      </c>
      <c r="AL440" t="s">
        <v>6802</v>
      </c>
      <c r="AM440">
        <v>11928</v>
      </c>
    </row>
    <row r="441" spans="1:44">
      <c r="A441" s="1">
        <f>HYPERLINK("https://lsnyc.legalserver.org/matter/dynamic-profile/view/1899836","19-1899836")</f>
        <v>0</v>
      </c>
      <c r="B441" t="s">
        <v>136</v>
      </c>
      <c r="C441" t="s">
        <v>316</v>
      </c>
      <c r="E441" t="s">
        <v>710</v>
      </c>
      <c r="F441" t="s">
        <v>1561</v>
      </c>
      <c r="G441" t="s">
        <v>2508</v>
      </c>
      <c r="H441">
        <v>2</v>
      </c>
      <c r="I441" t="s">
        <v>3493</v>
      </c>
      <c r="J441">
        <v>10473</v>
      </c>
      <c r="K441" t="s">
        <v>3523</v>
      </c>
      <c r="L441" t="s">
        <v>3527</v>
      </c>
      <c r="N441" t="s">
        <v>4113</v>
      </c>
      <c r="O441" t="s">
        <v>4133</v>
      </c>
      <c r="Q441" t="s">
        <v>4147</v>
      </c>
      <c r="R441" t="s">
        <v>3523</v>
      </c>
      <c r="T441" t="s">
        <v>4163</v>
      </c>
      <c r="V441" t="s">
        <v>197</v>
      </c>
      <c r="W441">
        <v>800</v>
      </c>
      <c r="X441" t="s">
        <v>4194</v>
      </c>
      <c r="Y441" t="s">
        <v>4212</v>
      </c>
      <c r="Z441" t="s">
        <v>4601</v>
      </c>
      <c r="AA441" t="s">
        <v>5571</v>
      </c>
      <c r="AB441" t="s">
        <v>5980</v>
      </c>
      <c r="AC441">
        <v>3</v>
      </c>
      <c r="AD441" t="s">
        <v>6771</v>
      </c>
      <c r="AE441" t="s">
        <v>6787</v>
      </c>
      <c r="AF441">
        <v>1</v>
      </c>
      <c r="AG441">
        <v>1</v>
      </c>
      <c r="AH441">
        <v>0</v>
      </c>
      <c r="AI441">
        <v>70.62</v>
      </c>
      <c r="AL441" t="s">
        <v>6801</v>
      </c>
      <c r="AM441">
        <v>8820</v>
      </c>
      <c r="AN441" t="s">
        <v>6848</v>
      </c>
    </row>
    <row r="442" spans="1:44">
      <c r="A442" s="1">
        <f>HYPERLINK("https://lsnyc.legalserver.org/matter/dynamic-profile/view/1908673","19-1908673")</f>
        <v>0</v>
      </c>
      <c r="B442" t="s">
        <v>87</v>
      </c>
      <c r="C442" t="s">
        <v>205</v>
      </c>
      <c r="D442" t="s">
        <v>219</v>
      </c>
      <c r="E442" t="s">
        <v>711</v>
      </c>
      <c r="F442" t="s">
        <v>1562</v>
      </c>
      <c r="G442" t="s">
        <v>2509</v>
      </c>
      <c r="H442" t="s">
        <v>3277</v>
      </c>
      <c r="I442" t="s">
        <v>3495</v>
      </c>
      <c r="J442">
        <v>10040</v>
      </c>
      <c r="K442" t="s">
        <v>3522</v>
      </c>
      <c r="L442" t="s">
        <v>3525</v>
      </c>
      <c r="N442" t="s">
        <v>4109</v>
      </c>
      <c r="O442" t="s">
        <v>4135</v>
      </c>
      <c r="P442" t="s">
        <v>4142</v>
      </c>
      <c r="Q442" t="s">
        <v>4147</v>
      </c>
      <c r="R442" t="s">
        <v>3523</v>
      </c>
      <c r="T442" t="s">
        <v>4156</v>
      </c>
      <c r="V442" t="s">
        <v>205</v>
      </c>
      <c r="W442">
        <v>215</v>
      </c>
      <c r="X442" t="s">
        <v>4196</v>
      </c>
      <c r="Y442" t="s">
        <v>4205</v>
      </c>
      <c r="Z442" t="s">
        <v>4602</v>
      </c>
      <c r="AB442" t="s">
        <v>5981</v>
      </c>
      <c r="AC442">
        <v>37</v>
      </c>
      <c r="AD442" t="s">
        <v>6772</v>
      </c>
      <c r="AE442" t="s">
        <v>4200</v>
      </c>
      <c r="AF442">
        <v>5</v>
      </c>
      <c r="AG442">
        <v>1</v>
      </c>
      <c r="AH442">
        <v>0</v>
      </c>
      <c r="AI442">
        <v>70.62</v>
      </c>
      <c r="AL442" t="s">
        <v>6802</v>
      </c>
      <c r="AM442">
        <v>8820</v>
      </c>
      <c r="AQ442" t="s">
        <v>6945</v>
      </c>
    </row>
    <row r="443" spans="1:44">
      <c r="A443" s="1">
        <f>HYPERLINK("https://lsnyc.legalserver.org/matter/dynamic-profile/view/1908559","19-1908559")</f>
        <v>0</v>
      </c>
      <c r="B443" t="s">
        <v>78</v>
      </c>
      <c r="C443" t="s">
        <v>224</v>
      </c>
      <c r="E443" t="s">
        <v>712</v>
      </c>
      <c r="F443" t="s">
        <v>1563</v>
      </c>
      <c r="G443" t="s">
        <v>2510</v>
      </c>
      <c r="H443">
        <v>25</v>
      </c>
      <c r="I443" t="s">
        <v>3493</v>
      </c>
      <c r="J443">
        <v>10460</v>
      </c>
      <c r="K443" t="s">
        <v>3522</v>
      </c>
      <c r="L443" t="s">
        <v>3525</v>
      </c>
      <c r="M443" t="s">
        <v>3736</v>
      </c>
      <c r="N443" t="s">
        <v>4107</v>
      </c>
      <c r="O443" t="s">
        <v>4134</v>
      </c>
      <c r="Q443" t="s">
        <v>4147</v>
      </c>
      <c r="R443" t="s">
        <v>3523</v>
      </c>
      <c r="T443" t="s">
        <v>4156</v>
      </c>
      <c r="U443" t="s">
        <v>4170</v>
      </c>
      <c r="V443" t="s">
        <v>4175</v>
      </c>
      <c r="W443">
        <v>1587.81</v>
      </c>
      <c r="X443" t="s">
        <v>4194</v>
      </c>
      <c r="Y443" t="s">
        <v>4201</v>
      </c>
      <c r="Z443" t="s">
        <v>4603</v>
      </c>
      <c r="AB443" t="s">
        <v>5982</v>
      </c>
      <c r="AC443">
        <v>30</v>
      </c>
      <c r="AD443" t="s">
        <v>6772</v>
      </c>
      <c r="AE443" t="s">
        <v>6786</v>
      </c>
      <c r="AF443">
        <v>8</v>
      </c>
      <c r="AG443">
        <v>2</v>
      </c>
      <c r="AH443">
        <v>2</v>
      </c>
      <c r="AI443">
        <v>70.68000000000001</v>
      </c>
      <c r="AL443" t="s">
        <v>6802</v>
      </c>
      <c r="AM443">
        <v>18200</v>
      </c>
    </row>
    <row r="444" spans="1:44">
      <c r="A444" s="1">
        <f>HYPERLINK("https://lsnyc.legalserver.org/matter/dynamic-profile/view/1910706","19-1910706")</f>
        <v>0</v>
      </c>
      <c r="B444" t="s">
        <v>90</v>
      </c>
      <c r="C444" t="s">
        <v>257</v>
      </c>
      <c r="E444" t="s">
        <v>437</v>
      </c>
      <c r="F444" t="s">
        <v>1422</v>
      </c>
      <c r="G444" t="s">
        <v>2511</v>
      </c>
      <c r="H444" t="s">
        <v>3216</v>
      </c>
      <c r="I444" t="s">
        <v>3495</v>
      </c>
      <c r="J444">
        <v>10040</v>
      </c>
      <c r="K444" t="s">
        <v>3522</v>
      </c>
      <c r="L444" t="s">
        <v>3525</v>
      </c>
      <c r="N444" t="s">
        <v>4108</v>
      </c>
      <c r="O444" t="s">
        <v>4136</v>
      </c>
      <c r="Q444" t="s">
        <v>4147</v>
      </c>
      <c r="R444" t="s">
        <v>3523</v>
      </c>
      <c r="T444" t="s">
        <v>4156</v>
      </c>
      <c r="V444" t="s">
        <v>257</v>
      </c>
      <c r="W444">
        <v>2050</v>
      </c>
      <c r="X444" t="s">
        <v>4196</v>
      </c>
      <c r="Y444" t="s">
        <v>4201</v>
      </c>
      <c r="Z444" t="s">
        <v>4604</v>
      </c>
      <c r="AB444" t="s">
        <v>5983</v>
      </c>
      <c r="AC444">
        <v>54</v>
      </c>
      <c r="AD444" t="s">
        <v>6772</v>
      </c>
      <c r="AE444" t="s">
        <v>3526</v>
      </c>
      <c r="AF444">
        <v>4</v>
      </c>
      <c r="AG444">
        <v>2</v>
      </c>
      <c r="AH444">
        <v>0</v>
      </c>
      <c r="AI444">
        <v>70.95999999999999</v>
      </c>
      <c r="AL444" t="s">
        <v>6801</v>
      </c>
      <c r="AM444">
        <v>12000</v>
      </c>
    </row>
    <row r="445" spans="1:44">
      <c r="A445" s="1">
        <f>HYPERLINK("https://lsnyc.legalserver.org/matter/dynamic-profile/view/1905563","19-1905563")</f>
        <v>0</v>
      </c>
      <c r="B445" t="s">
        <v>137</v>
      </c>
      <c r="C445" t="s">
        <v>312</v>
      </c>
      <c r="E445" t="s">
        <v>713</v>
      </c>
      <c r="F445" t="s">
        <v>1564</v>
      </c>
      <c r="G445" t="s">
        <v>2512</v>
      </c>
      <c r="H445" t="s">
        <v>3170</v>
      </c>
      <c r="I445" t="s">
        <v>3493</v>
      </c>
      <c r="J445">
        <v>10459</v>
      </c>
      <c r="K445" t="s">
        <v>3522</v>
      </c>
      <c r="L445" t="s">
        <v>3525</v>
      </c>
      <c r="M445" t="s">
        <v>3737</v>
      </c>
      <c r="N445" t="s">
        <v>4120</v>
      </c>
      <c r="O445" t="s">
        <v>4137</v>
      </c>
      <c r="Q445" t="s">
        <v>4147</v>
      </c>
      <c r="R445" t="s">
        <v>3523</v>
      </c>
      <c r="T445" t="s">
        <v>4156</v>
      </c>
      <c r="U445" t="s">
        <v>4168</v>
      </c>
      <c r="V445" t="s">
        <v>237</v>
      </c>
      <c r="W445">
        <v>168</v>
      </c>
      <c r="X445" t="s">
        <v>4194</v>
      </c>
      <c r="Y445" t="s">
        <v>4206</v>
      </c>
      <c r="Z445" t="s">
        <v>4605</v>
      </c>
      <c r="AB445" t="s">
        <v>5984</v>
      </c>
      <c r="AC445">
        <v>20</v>
      </c>
      <c r="AD445" t="s">
        <v>6778</v>
      </c>
      <c r="AE445" t="s">
        <v>6786</v>
      </c>
      <c r="AF445">
        <v>18</v>
      </c>
      <c r="AG445">
        <v>1</v>
      </c>
      <c r="AH445">
        <v>0</v>
      </c>
      <c r="AI445">
        <v>71.09999999999999</v>
      </c>
      <c r="AL445" t="s">
        <v>6801</v>
      </c>
      <c r="AM445">
        <v>8880</v>
      </c>
    </row>
    <row r="446" spans="1:44">
      <c r="A446" s="1">
        <f>HYPERLINK("https://lsnyc.legalserver.org/matter/dynamic-profile/view/1885571","18-1885571")</f>
        <v>0</v>
      </c>
      <c r="B446" t="s">
        <v>111</v>
      </c>
      <c r="C446" t="s">
        <v>317</v>
      </c>
      <c r="D446" t="s">
        <v>212</v>
      </c>
      <c r="E446" t="s">
        <v>714</v>
      </c>
      <c r="F446" t="s">
        <v>1565</v>
      </c>
      <c r="G446" t="s">
        <v>2513</v>
      </c>
      <c r="H446" t="s">
        <v>3278</v>
      </c>
      <c r="I446" t="s">
        <v>3490</v>
      </c>
      <c r="J446">
        <v>11208</v>
      </c>
      <c r="K446" t="s">
        <v>3522</v>
      </c>
      <c r="L446" t="s">
        <v>3525</v>
      </c>
      <c r="M446" t="s">
        <v>3738</v>
      </c>
      <c r="N446" t="s">
        <v>4109</v>
      </c>
      <c r="O446" t="s">
        <v>4134</v>
      </c>
      <c r="P446" t="s">
        <v>4140</v>
      </c>
      <c r="Q446" t="s">
        <v>4147</v>
      </c>
      <c r="R446" t="s">
        <v>3523</v>
      </c>
      <c r="T446" t="s">
        <v>4156</v>
      </c>
      <c r="U446" t="s">
        <v>4168</v>
      </c>
      <c r="V446" t="s">
        <v>239</v>
      </c>
      <c r="W446">
        <v>881.39</v>
      </c>
      <c r="X446" t="s">
        <v>4193</v>
      </c>
      <c r="Y446" t="s">
        <v>4203</v>
      </c>
      <c r="Z446" t="s">
        <v>4606</v>
      </c>
      <c r="AA446" t="s">
        <v>5572</v>
      </c>
      <c r="AB446" t="s">
        <v>5985</v>
      </c>
      <c r="AC446">
        <v>3</v>
      </c>
      <c r="AD446" t="s">
        <v>6772</v>
      </c>
      <c r="AE446" t="s">
        <v>6787</v>
      </c>
      <c r="AF446">
        <v>18</v>
      </c>
      <c r="AG446">
        <v>3</v>
      </c>
      <c r="AH446">
        <v>2</v>
      </c>
      <c r="AI446">
        <v>71.53</v>
      </c>
      <c r="AL446" t="s">
        <v>6801</v>
      </c>
      <c r="AM446">
        <v>21044</v>
      </c>
      <c r="AO446" t="s">
        <v>6915</v>
      </c>
      <c r="AP446" t="s">
        <v>6928</v>
      </c>
      <c r="AQ446" t="s">
        <v>6945</v>
      </c>
      <c r="AR446" t="s">
        <v>6971</v>
      </c>
    </row>
    <row r="447" spans="1:44">
      <c r="A447" s="1">
        <f>HYPERLINK("https://lsnyc.legalserver.org/matter/dynamic-profile/view/1907609","19-1907609")</f>
        <v>0</v>
      </c>
      <c r="B447" t="s">
        <v>66</v>
      </c>
      <c r="C447" t="s">
        <v>239</v>
      </c>
      <c r="E447" t="s">
        <v>715</v>
      </c>
      <c r="F447" t="s">
        <v>1566</v>
      </c>
      <c r="G447" t="s">
        <v>2514</v>
      </c>
      <c r="H447" t="s">
        <v>3263</v>
      </c>
      <c r="I447" t="s">
        <v>3490</v>
      </c>
      <c r="J447">
        <v>11210</v>
      </c>
      <c r="K447" t="s">
        <v>3522</v>
      </c>
      <c r="L447" t="s">
        <v>3525</v>
      </c>
      <c r="N447" t="s">
        <v>4112</v>
      </c>
      <c r="O447" t="s">
        <v>4133</v>
      </c>
      <c r="Q447" t="s">
        <v>4147</v>
      </c>
      <c r="R447" t="s">
        <v>3523</v>
      </c>
      <c r="T447" t="s">
        <v>4156</v>
      </c>
      <c r="V447" t="s">
        <v>185</v>
      </c>
      <c r="W447">
        <v>1725</v>
      </c>
      <c r="X447" t="s">
        <v>4193</v>
      </c>
      <c r="Z447" t="s">
        <v>4607</v>
      </c>
      <c r="AC447">
        <v>65</v>
      </c>
      <c r="AF447">
        <v>20</v>
      </c>
      <c r="AG447">
        <v>6</v>
      </c>
      <c r="AH447">
        <v>2</v>
      </c>
      <c r="AI447">
        <v>71.84</v>
      </c>
      <c r="AL447" t="s">
        <v>6811</v>
      </c>
      <c r="AM447">
        <v>31200</v>
      </c>
    </row>
    <row r="448" spans="1:44">
      <c r="A448" s="1">
        <f>HYPERLINK("https://lsnyc.legalserver.org/matter/dynamic-profile/view/1907589","19-1907589")</f>
        <v>0</v>
      </c>
      <c r="B448" t="s">
        <v>66</v>
      </c>
      <c r="C448" t="s">
        <v>239</v>
      </c>
      <c r="E448" t="s">
        <v>715</v>
      </c>
      <c r="F448" t="s">
        <v>1566</v>
      </c>
      <c r="G448" t="s">
        <v>2514</v>
      </c>
      <c r="H448" t="s">
        <v>3263</v>
      </c>
      <c r="I448" t="s">
        <v>3490</v>
      </c>
      <c r="J448">
        <v>11210</v>
      </c>
      <c r="K448" t="s">
        <v>3522</v>
      </c>
      <c r="L448" t="s">
        <v>3525</v>
      </c>
      <c r="M448" t="s">
        <v>3739</v>
      </c>
      <c r="N448" t="s">
        <v>4109</v>
      </c>
      <c r="O448" t="s">
        <v>4134</v>
      </c>
      <c r="Q448" t="s">
        <v>4147</v>
      </c>
      <c r="R448" t="s">
        <v>3523</v>
      </c>
      <c r="T448" t="s">
        <v>4156</v>
      </c>
      <c r="V448" t="s">
        <v>239</v>
      </c>
      <c r="W448">
        <v>1725</v>
      </c>
      <c r="X448" t="s">
        <v>4193</v>
      </c>
      <c r="Z448" t="s">
        <v>4607</v>
      </c>
      <c r="AC448">
        <v>65</v>
      </c>
      <c r="AF448">
        <v>20</v>
      </c>
      <c r="AG448">
        <v>6</v>
      </c>
      <c r="AH448">
        <v>2</v>
      </c>
      <c r="AI448">
        <v>71.84</v>
      </c>
      <c r="AL448" t="s">
        <v>6811</v>
      </c>
      <c r="AM448">
        <v>31200</v>
      </c>
    </row>
    <row r="449" spans="1:44">
      <c r="A449" s="1">
        <f>HYPERLINK("https://lsnyc.legalserver.org/matter/dynamic-profile/view/1909603","19-1909603")</f>
        <v>0</v>
      </c>
      <c r="B449" t="s">
        <v>99</v>
      </c>
      <c r="C449" t="s">
        <v>231</v>
      </c>
      <c r="E449" t="s">
        <v>716</v>
      </c>
      <c r="F449" t="s">
        <v>1567</v>
      </c>
      <c r="G449" t="s">
        <v>2515</v>
      </c>
      <c r="H449" t="s">
        <v>3279</v>
      </c>
      <c r="I449" t="s">
        <v>3495</v>
      </c>
      <c r="J449">
        <v>10039</v>
      </c>
      <c r="K449" t="s">
        <v>3522</v>
      </c>
      <c r="L449" t="s">
        <v>3525</v>
      </c>
      <c r="M449" t="s">
        <v>3740</v>
      </c>
      <c r="N449" t="s">
        <v>4127</v>
      </c>
      <c r="O449" t="s">
        <v>4134</v>
      </c>
      <c r="Q449" t="s">
        <v>4148</v>
      </c>
      <c r="R449" t="s">
        <v>3523</v>
      </c>
      <c r="T449" t="s">
        <v>4157</v>
      </c>
      <c r="U449" t="s">
        <v>4168</v>
      </c>
      <c r="V449" t="s">
        <v>231</v>
      </c>
      <c r="W449">
        <v>844</v>
      </c>
      <c r="X449" t="s">
        <v>4196</v>
      </c>
      <c r="Y449" t="s">
        <v>4199</v>
      </c>
      <c r="Z449" t="s">
        <v>4608</v>
      </c>
      <c r="AB449" t="s">
        <v>5986</v>
      </c>
      <c r="AC449">
        <v>360</v>
      </c>
      <c r="AD449" t="s">
        <v>6773</v>
      </c>
      <c r="AE449" t="s">
        <v>3526</v>
      </c>
      <c r="AF449">
        <v>12</v>
      </c>
      <c r="AG449">
        <v>1</v>
      </c>
      <c r="AH449">
        <v>3</v>
      </c>
      <c r="AI449">
        <v>71.86</v>
      </c>
      <c r="AJ449" t="s">
        <v>6795</v>
      </c>
      <c r="AK449" t="s">
        <v>6798</v>
      </c>
      <c r="AL449" t="s">
        <v>6801</v>
      </c>
      <c r="AM449">
        <v>18504</v>
      </c>
    </row>
    <row r="450" spans="1:44">
      <c r="A450" s="1">
        <f>HYPERLINK("https://lsnyc.legalserver.org/matter/dynamic-profile/view/1913985","19-1913985")</f>
        <v>0</v>
      </c>
      <c r="B450" t="s">
        <v>60</v>
      </c>
      <c r="C450" t="s">
        <v>263</v>
      </c>
      <c r="E450" t="s">
        <v>717</v>
      </c>
      <c r="F450" t="s">
        <v>1568</v>
      </c>
      <c r="G450" t="s">
        <v>2516</v>
      </c>
      <c r="H450" t="s">
        <v>3135</v>
      </c>
      <c r="I450" t="s">
        <v>3490</v>
      </c>
      <c r="J450">
        <v>11212</v>
      </c>
      <c r="K450" t="s">
        <v>3522</v>
      </c>
      <c r="L450" t="s">
        <v>3525</v>
      </c>
      <c r="M450" t="s">
        <v>3741</v>
      </c>
      <c r="N450" t="s">
        <v>4109</v>
      </c>
      <c r="O450" t="s">
        <v>4134</v>
      </c>
      <c r="Q450" t="s">
        <v>4147</v>
      </c>
      <c r="R450" t="s">
        <v>3523</v>
      </c>
      <c r="T450" t="s">
        <v>4156</v>
      </c>
      <c r="U450" t="s">
        <v>4168</v>
      </c>
      <c r="V450" t="s">
        <v>267</v>
      </c>
      <c r="W450">
        <v>1577</v>
      </c>
      <c r="X450" t="s">
        <v>4193</v>
      </c>
      <c r="Y450" t="s">
        <v>4201</v>
      </c>
      <c r="Z450" t="s">
        <v>4609</v>
      </c>
      <c r="AA450" t="s">
        <v>5573</v>
      </c>
      <c r="AB450" t="s">
        <v>5987</v>
      </c>
      <c r="AC450">
        <v>6</v>
      </c>
      <c r="AD450" t="s">
        <v>6772</v>
      </c>
      <c r="AE450" t="s">
        <v>4200</v>
      </c>
      <c r="AF450">
        <v>20</v>
      </c>
      <c r="AG450">
        <v>1</v>
      </c>
      <c r="AH450">
        <v>0</v>
      </c>
      <c r="AI450">
        <v>71.95999999999999</v>
      </c>
      <c r="AL450" t="s">
        <v>6801</v>
      </c>
      <c r="AM450">
        <v>8988</v>
      </c>
    </row>
    <row r="451" spans="1:44">
      <c r="A451" s="1">
        <f>HYPERLINK("https://lsnyc.legalserver.org/matter/dynamic-profile/view/1910248","19-1910248")</f>
        <v>0</v>
      </c>
      <c r="B451" t="s">
        <v>53</v>
      </c>
      <c r="C451" t="s">
        <v>318</v>
      </c>
      <c r="E451" t="s">
        <v>637</v>
      </c>
      <c r="F451" t="s">
        <v>1502</v>
      </c>
      <c r="G451" t="s">
        <v>2188</v>
      </c>
      <c r="H451" t="s">
        <v>3245</v>
      </c>
      <c r="I451" t="s">
        <v>3490</v>
      </c>
      <c r="J451">
        <v>11238</v>
      </c>
      <c r="K451" t="s">
        <v>3522</v>
      </c>
      <c r="L451" t="s">
        <v>3525</v>
      </c>
      <c r="M451" t="s">
        <v>3742</v>
      </c>
      <c r="N451" t="s">
        <v>4109</v>
      </c>
      <c r="O451" t="s">
        <v>4134</v>
      </c>
      <c r="Q451" t="s">
        <v>4147</v>
      </c>
      <c r="R451" t="s">
        <v>3522</v>
      </c>
      <c r="T451" t="s">
        <v>4156</v>
      </c>
      <c r="U451" t="s">
        <v>4168</v>
      </c>
      <c r="V451" t="s">
        <v>318</v>
      </c>
      <c r="W451">
        <v>0</v>
      </c>
      <c r="X451" t="s">
        <v>4193</v>
      </c>
      <c r="Y451" t="s">
        <v>4201</v>
      </c>
      <c r="Z451" t="s">
        <v>4503</v>
      </c>
      <c r="AB451" t="s">
        <v>5889</v>
      </c>
      <c r="AC451">
        <v>29</v>
      </c>
      <c r="AD451" t="s">
        <v>6772</v>
      </c>
      <c r="AF451">
        <v>0</v>
      </c>
      <c r="AG451">
        <v>1</v>
      </c>
      <c r="AH451">
        <v>0</v>
      </c>
      <c r="AI451">
        <v>72.06</v>
      </c>
      <c r="AL451" t="s">
        <v>6801</v>
      </c>
      <c r="AM451">
        <v>9000</v>
      </c>
      <c r="AO451" t="s">
        <v>6915</v>
      </c>
    </row>
    <row r="452" spans="1:44">
      <c r="A452" s="1">
        <f>HYPERLINK("https://lsnyc.legalserver.org/matter/dynamic-profile/view/1909220","19-1909220")</f>
        <v>0</v>
      </c>
      <c r="B452" t="s">
        <v>81</v>
      </c>
      <c r="C452" t="s">
        <v>234</v>
      </c>
      <c r="E452" t="s">
        <v>718</v>
      </c>
      <c r="F452" t="s">
        <v>1569</v>
      </c>
      <c r="G452" t="s">
        <v>2517</v>
      </c>
      <c r="H452">
        <v>5</v>
      </c>
      <c r="I452" t="s">
        <v>3493</v>
      </c>
      <c r="J452">
        <v>10452</v>
      </c>
      <c r="K452" t="s">
        <v>3522</v>
      </c>
      <c r="L452" t="s">
        <v>3525</v>
      </c>
      <c r="M452" t="s">
        <v>3743</v>
      </c>
      <c r="N452" t="s">
        <v>4109</v>
      </c>
      <c r="O452" t="s">
        <v>4132</v>
      </c>
      <c r="Q452" t="s">
        <v>4147</v>
      </c>
      <c r="R452" t="s">
        <v>3523</v>
      </c>
      <c r="T452" t="s">
        <v>4156</v>
      </c>
      <c r="V452" t="s">
        <v>251</v>
      </c>
      <c r="W452">
        <v>938</v>
      </c>
      <c r="X452" t="s">
        <v>4194</v>
      </c>
      <c r="Y452" t="s">
        <v>4210</v>
      </c>
      <c r="Z452" t="s">
        <v>4610</v>
      </c>
      <c r="AB452" t="s">
        <v>5988</v>
      </c>
      <c r="AC452">
        <v>30</v>
      </c>
      <c r="AF452">
        <v>34</v>
      </c>
      <c r="AG452">
        <v>1</v>
      </c>
      <c r="AH452">
        <v>0</v>
      </c>
      <c r="AI452">
        <v>72.06</v>
      </c>
      <c r="AL452" t="s">
        <v>6802</v>
      </c>
      <c r="AM452">
        <v>9000</v>
      </c>
    </row>
    <row r="453" spans="1:44">
      <c r="A453" s="1">
        <f>HYPERLINK("https://lsnyc.legalserver.org/matter/dynamic-profile/view/1906125","19-1906125")</f>
        <v>0</v>
      </c>
      <c r="B453" t="s">
        <v>86</v>
      </c>
      <c r="C453" t="s">
        <v>207</v>
      </c>
      <c r="E453" t="s">
        <v>675</v>
      </c>
      <c r="F453" t="s">
        <v>1570</v>
      </c>
      <c r="G453" t="s">
        <v>2244</v>
      </c>
      <c r="H453" t="s">
        <v>3149</v>
      </c>
      <c r="I453" t="s">
        <v>3495</v>
      </c>
      <c r="J453">
        <v>10040</v>
      </c>
      <c r="K453" t="s">
        <v>3522</v>
      </c>
      <c r="L453" t="s">
        <v>3525</v>
      </c>
      <c r="M453" t="s">
        <v>3744</v>
      </c>
      <c r="N453" t="s">
        <v>4109</v>
      </c>
      <c r="O453" t="s">
        <v>4134</v>
      </c>
      <c r="Q453" t="s">
        <v>4147</v>
      </c>
      <c r="R453" t="s">
        <v>3523</v>
      </c>
      <c r="T453" t="s">
        <v>4156</v>
      </c>
      <c r="U453" t="s">
        <v>4168</v>
      </c>
      <c r="V453" t="s">
        <v>207</v>
      </c>
      <c r="W453">
        <v>1143.13</v>
      </c>
      <c r="X453" t="s">
        <v>4196</v>
      </c>
      <c r="Y453" t="s">
        <v>4201</v>
      </c>
      <c r="Z453" t="s">
        <v>4611</v>
      </c>
      <c r="AB453" t="s">
        <v>5989</v>
      </c>
      <c r="AC453">
        <v>42</v>
      </c>
      <c r="AD453" t="s">
        <v>6772</v>
      </c>
      <c r="AE453" t="s">
        <v>6791</v>
      </c>
      <c r="AF453">
        <v>29</v>
      </c>
      <c r="AG453">
        <v>1</v>
      </c>
      <c r="AH453">
        <v>0</v>
      </c>
      <c r="AI453">
        <v>72.06</v>
      </c>
      <c r="AL453" t="s">
        <v>6801</v>
      </c>
      <c r="AM453">
        <v>9000</v>
      </c>
    </row>
    <row r="454" spans="1:44">
      <c r="A454" s="1">
        <f>HYPERLINK("https://lsnyc.legalserver.org/matter/dynamic-profile/view/1909324","19-1909324")</f>
        <v>0</v>
      </c>
      <c r="B454" t="s">
        <v>90</v>
      </c>
      <c r="C454" t="s">
        <v>197</v>
      </c>
      <c r="E454" t="s">
        <v>719</v>
      </c>
      <c r="F454" t="s">
        <v>1571</v>
      </c>
      <c r="G454" t="s">
        <v>2518</v>
      </c>
      <c r="H454">
        <v>31</v>
      </c>
      <c r="I454" t="s">
        <v>3495</v>
      </c>
      <c r="J454">
        <v>10033</v>
      </c>
      <c r="K454" t="s">
        <v>3522</v>
      </c>
      <c r="L454" t="s">
        <v>3525</v>
      </c>
      <c r="N454" t="s">
        <v>4107</v>
      </c>
      <c r="O454" t="s">
        <v>4136</v>
      </c>
      <c r="Q454" t="s">
        <v>4147</v>
      </c>
      <c r="R454" t="s">
        <v>3523</v>
      </c>
      <c r="T454" t="s">
        <v>4156</v>
      </c>
      <c r="V454" t="s">
        <v>197</v>
      </c>
      <c r="W454">
        <v>792.47</v>
      </c>
      <c r="X454" t="s">
        <v>4196</v>
      </c>
      <c r="Y454" t="s">
        <v>4212</v>
      </c>
      <c r="Z454" t="s">
        <v>4612</v>
      </c>
      <c r="AB454" t="s">
        <v>5990</v>
      </c>
      <c r="AC454">
        <v>38</v>
      </c>
      <c r="AD454" t="s">
        <v>6772</v>
      </c>
      <c r="AE454" t="s">
        <v>6791</v>
      </c>
      <c r="AF454">
        <v>16</v>
      </c>
      <c r="AG454">
        <v>1</v>
      </c>
      <c r="AH454">
        <v>0</v>
      </c>
      <c r="AI454">
        <v>72.06</v>
      </c>
      <c r="AL454" t="s">
        <v>6802</v>
      </c>
      <c r="AM454">
        <v>9000</v>
      </c>
    </row>
    <row r="455" spans="1:44">
      <c r="A455" s="1">
        <f>HYPERLINK("https://lsnyc.legalserver.org/matter/dynamic-profile/view/1905375","19-1905375")</f>
        <v>0</v>
      </c>
      <c r="B455" t="s">
        <v>69</v>
      </c>
      <c r="C455" t="s">
        <v>264</v>
      </c>
      <c r="D455" t="s">
        <v>320</v>
      </c>
      <c r="E455" t="s">
        <v>520</v>
      </c>
      <c r="F455" t="s">
        <v>1325</v>
      </c>
      <c r="G455" t="s">
        <v>2519</v>
      </c>
      <c r="H455" t="s">
        <v>3183</v>
      </c>
      <c r="I455" t="s">
        <v>3490</v>
      </c>
      <c r="J455">
        <v>11233</v>
      </c>
      <c r="K455" t="s">
        <v>3522</v>
      </c>
      <c r="L455" t="s">
        <v>3525</v>
      </c>
      <c r="M455" t="s">
        <v>3553</v>
      </c>
      <c r="N455" t="s">
        <v>3554</v>
      </c>
      <c r="O455" t="s">
        <v>4132</v>
      </c>
      <c r="P455" t="s">
        <v>4139</v>
      </c>
      <c r="Q455" t="s">
        <v>4147</v>
      </c>
      <c r="R455" t="s">
        <v>3523</v>
      </c>
      <c r="T455" t="s">
        <v>4156</v>
      </c>
      <c r="U455" t="s">
        <v>4168</v>
      </c>
      <c r="V455" t="s">
        <v>264</v>
      </c>
      <c r="W455">
        <v>550</v>
      </c>
      <c r="X455" t="s">
        <v>4193</v>
      </c>
      <c r="Z455" t="s">
        <v>4613</v>
      </c>
      <c r="AA455" t="s">
        <v>5574</v>
      </c>
      <c r="AB455" t="s">
        <v>5991</v>
      </c>
      <c r="AC455">
        <v>6</v>
      </c>
      <c r="AD455" t="s">
        <v>6772</v>
      </c>
      <c r="AE455" t="s">
        <v>3526</v>
      </c>
      <c r="AF455">
        <v>44</v>
      </c>
      <c r="AG455">
        <v>1</v>
      </c>
      <c r="AH455">
        <v>0</v>
      </c>
      <c r="AI455">
        <v>72.15000000000001</v>
      </c>
      <c r="AL455" t="s">
        <v>6802</v>
      </c>
      <c r="AM455">
        <v>9012</v>
      </c>
    </row>
    <row r="456" spans="1:44">
      <c r="A456" s="1">
        <f>HYPERLINK("https://lsnyc.legalserver.org/matter/dynamic-profile/view/1914831","19-1914831")</f>
        <v>0</v>
      </c>
      <c r="B456" t="s">
        <v>51</v>
      </c>
      <c r="C456" t="s">
        <v>301</v>
      </c>
      <c r="E456" t="s">
        <v>720</v>
      </c>
      <c r="F456" t="s">
        <v>1572</v>
      </c>
      <c r="G456" t="s">
        <v>2520</v>
      </c>
      <c r="H456">
        <v>1</v>
      </c>
      <c r="I456" t="s">
        <v>3494</v>
      </c>
      <c r="J456">
        <v>10304</v>
      </c>
      <c r="K456" t="s">
        <v>3522</v>
      </c>
      <c r="O456" t="s">
        <v>4133</v>
      </c>
      <c r="Q456" t="s">
        <v>4147</v>
      </c>
      <c r="T456" t="s">
        <v>4156</v>
      </c>
      <c r="V456" t="s">
        <v>263</v>
      </c>
      <c r="W456">
        <v>0</v>
      </c>
      <c r="X456" t="s">
        <v>4193</v>
      </c>
      <c r="Z456" t="s">
        <v>4614</v>
      </c>
      <c r="AB456" t="s">
        <v>5992</v>
      </c>
      <c r="AC456">
        <v>0</v>
      </c>
      <c r="AF456">
        <v>0</v>
      </c>
      <c r="AG456">
        <v>1</v>
      </c>
      <c r="AH456">
        <v>0</v>
      </c>
      <c r="AI456">
        <v>72.15000000000001</v>
      </c>
      <c r="AL456" t="s">
        <v>6801</v>
      </c>
      <c r="AM456">
        <v>9012</v>
      </c>
    </row>
    <row r="457" spans="1:44">
      <c r="A457" s="1">
        <f>HYPERLINK("https://lsnyc.legalserver.org/matter/dynamic-profile/view/1907936","19-1907936")</f>
        <v>0</v>
      </c>
      <c r="B457" t="s">
        <v>83</v>
      </c>
      <c r="C457" t="s">
        <v>193</v>
      </c>
      <c r="E457" t="s">
        <v>721</v>
      </c>
      <c r="F457" t="s">
        <v>1573</v>
      </c>
      <c r="G457" t="s">
        <v>2521</v>
      </c>
      <c r="H457" t="s">
        <v>3178</v>
      </c>
      <c r="I457" t="s">
        <v>3493</v>
      </c>
      <c r="J457">
        <v>10460</v>
      </c>
      <c r="K457" t="s">
        <v>3523</v>
      </c>
      <c r="L457" t="s">
        <v>3526</v>
      </c>
      <c r="N457" t="s">
        <v>4128</v>
      </c>
      <c r="O457" t="s">
        <v>4137</v>
      </c>
      <c r="Q457" t="s">
        <v>4147</v>
      </c>
      <c r="R457" t="s">
        <v>3523</v>
      </c>
      <c r="T457" t="s">
        <v>4164</v>
      </c>
      <c r="V457" t="s">
        <v>247</v>
      </c>
      <c r="W457">
        <v>1419</v>
      </c>
      <c r="X457" t="s">
        <v>4194</v>
      </c>
      <c r="Y457" t="s">
        <v>4200</v>
      </c>
      <c r="Z457" t="s">
        <v>4615</v>
      </c>
      <c r="AB457" t="s">
        <v>5993</v>
      </c>
      <c r="AC457">
        <v>18</v>
      </c>
      <c r="AD457" t="s">
        <v>6772</v>
      </c>
      <c r="AE457" t="s">
        <v>6786</v>
      </c>
      <c r="AF457">
        <v>3</v>
      </c>
      <c r="AG457">
        <v>4</v>
      </c>
      <c r="AH457">
        <v>0</v>
      </c>
      <c r="AI457">
        <v>72.23</v>
      </c>
      <c r="AL457" t="s">
        <v>6801</v>
      </c>
      <c r="AM457">
        <v>18600</v>
      </c>
    </row>
    <row r="458" spans="1:44">
      <c r="A458" s="1">
        <f>HYPERLINK("https://lsnyc.legalserver.org/matter/dynamic-profile/view/1910076","19-1910076")</f>
        <v>0</v>
      </c>
      <c r="B458" t="s">
        <v>83</v>
      </c>
      <c r="C458" t="s">
        <v>230</v>
      </c>
      <c r="E458" t="s">
        <v>721</v>
      </c>
      <c r="F458" t="s">
        <v>1573</v>
      </c>
      <c r="G458" t="s">
        <v>2521</v>
      </c>
      <c r="H458" t="s">
        <v>3178</v>
      </c>
      <c r="I458" t="s">
        <v>3493</v>
      </c>
      <c r="J458">
        <v>10460</v>
      </c>
      <c r="K458" t="s">
        <v>3523</v>
      </c>
      <c r="L458" t="s">
        <v>3526</v>
      </c>
      <c r="N458" t="s">
        <v>4120</v>
      </c>
      <c r="O458" t="s">
        <v>4133</v>
      </c>
      <c r="Q458" t="s">
        <v>4147</v>
      </c>
      <c r="R458" t="s">
        <v>3523</v>
      </c>
      <c r="T458" t="s">
        <v>4161</v>
      </c>
      <c r="V458" t="s">
        <v>270</v>
      </c>
      <c r="W458">
        <v>0</v>
      </c>
      <c r="X458" t="s">
        <v>4194</v>
      </c>
      <c r="Z458" t="s">
        <v>4615</v>
      </c>
      <c r="AB458" t="s">
        <v>5993</v>
      </c>
      <c r="AC458">
        <v>18</v>
      </c>
      <c r="AD458" t="s">
        <v>6772</v>
      </c>
      <c r="AE458" t="s">
        <v>6786</v>
      </c>
      <c r="AF458">
        <v>0</v>
      </c>
      <c r="AG458">
        <v>4</v>
      </c>
      <c r="AH458">
        <v>0</v>
      </c>
      <c r="AI458">
        <v>72.23</v>
      </c>
      <c r="AL458" t="s">
        <v>6801</v>
      </c>
      <c r="AM458">
        <v>18600</v>
      </c>
    </row>
    <row r="459" spans="1:44">
      <c r="A459" s="1">
        <f>HYPERLINK("https://lsnyc.legalserver.org/matter/dynamic-profile/view/1906232","19-1906232")</f>
        <v>0</v>
      </c>
      <c r="B459" t="s">
        <v>92</v>
      </c>
      <c r="C459" t="s">
        <v>188</v>
      </c>
      <c r="D459" t="s">
        <v>208</v>
      </c>
      <c r="E459" t="s">
        <v>722</v>
      </c>
      <c r="F459" t="s">
        <v>1574</v>
      </c>
      <c r="G459" t="s">
        <v>2522</v>
      </c>
      <c r="H459" t="s">
        <v>3136</v>
      </c>
      <c r="I459" t="s">
        <v>3495</v>
      </c>
      <c r="J459">
        <v>10040</v>
      </c>
      <c r="K459" t="s">
        <v>3522</v>
      </c>
      <c r="L459" t="s">
        <v>3525</v>
      </c>
      <c r="N459" t="s">
        <v>3554</v>
      </c>
      <c r="O459" t="s">
        <v>4132</v>
      </c>
      <c r="P459" t="s">
        <v>4139</v>
      </c>
      <c r="Q459" t="s">
        <v>4147</v>
      </c>
      <c r="R459" t="s">
        <v>3523</v>
      </c>
      <c r="T459" t="s">
        <v>4156</v>
      </c>
      <c r="U459" t="s">
        <v>4168</v>
      </c>
      <c r="V459" t="s">
        <v>188</v>
      </c>
      <c r="W459">
        <v>1372.65</v>
      </c>
      <c r="X459" t="s">
        <v>4196</v>
      </c>
      <c r="Y459" t="s">
        <v>4205</v>
      </c>
      <c r="Z459" t="s">
        <v>4616</v>
      </c>
      <c r="AC459">
        <v>75</v>
      </c>
      <c r="AD459" t="s">
        <v>6772</v>
      </c>
      <c r="AE459" t="s">
        <v>3526</v>
      </c>
      <c r="AF459">
        <v>11</v>
      </c>
      <c r="AG459">
        <v>1</v>
      </c>
      <c r="AH459">
        <v>0</v>
      </c>
      <c r="AI459">
        <v>72.63</v>
      </c>
      <c r="AL459" t="s">
        <v>6801</v>
      </c>
      <c r="AM459">
        <v>9072</v>
      </c>
    </row>
    <row r="460" spans="1:44">
      <c r="A460" s="1">
        <f>HYPERLINK("https://lsnyc.legalserver.org/matter/dynamic-profile/view/1878104","18-1878104")</f>
        <v>0</v>
      </c>
      <c r="B460" t="s">
        <v>134</v>
      </c>
      <c r="C460" t="s">
        <v>319</v>
      </c>
      <c r="D460" t="s">
        <v>193</v>
      </c>
      <c r="E460" t="s">
        <v>723</v>
      </c>
      <c r="F460" t="s">
        <v>1575</v>
      </c>
      <c r="G460" t="s">
        <v>2523</v>
      </c>
      <c r="H460" t="s">
        <v>3151</v>
      </c>
      <c r="I460" t="s">
        <v>3490</v>
      </c>
      <c r="J460">
        <v>11237</v>
      </c>
      <c r="K460" t="s">
        <v>3522</v>
      </c>
      <c r="L460" t="s">
        <v>3525</v>
      </c>
      <c r="M460" t="s">
        <v>3745</v>
      </c>
      <c r="N460" t="s">
        <v>4109</v>
      </c>
      <c r="O460" t="s">
        <v>4134</v>
      </c>
      <c r="P460" t="s">
        <v>4140</v>
      </c>
      <c r="Q460" t="s">
        <v>4147</v>
      </c>
      <c r="R460" t="s">
        <v>3523</v>
      </c>
      <c r="T460" t="s">
        <v>4156</v>
      </c>
      <c r="V460" t="s">
        <v>179</v>
      </c>
      <c r="W460">
        <v>0</v>
      </c>
      <c r="X460" t="s">
        <v>4193</v>
      </c>
      <c r="Z460" t="s">
        <v>4617</v>
      </c>
      <c r="AB460" t="s">
        <v>5994</v>
      </c>
      <c r="AC460">
        <v>32</v>
      </c>
      <c r="AF460">
        <v>0</v>
      </c>
      <c r="AG460">
        <v>1</v>
      </c>
      <c r="AH460">
        <v>0</v>
      </c>
      <c r="AI460">
        <v>72.65000000000001</v>
      </c>
      <c r="AL460" t="s">
        <v>6801</v>
      </c>
      <c r="AM460">
        <v>8820</v>
      </c>
      <c r="AO460" t="s">
        <v>6918</v>
      </c>
      <c r="AP460" t="s">
        <v>6934</v>
      </c>
      <c r="AQ460" t="s">
        <v>6945</v>
      </c>
      <c r="AR460" t="s">
        <v>6980</v>
      </c>
    </row>
    <row r="461" spans="1:44">
      <c r="A461" s="1">
        <f>HYPERLINK("https://lsnyc.legalserver.org/matter/dynamic-profile/view/1906837","19-1906837")</f>
        <v>0</v>
      </c>
      <c r="B461" t="s">
        <v>84</v>
      </c>
      <c r="C461" t="s">
        <v>225</v>
      </c>
      <c r="E461" t="s">
        <v>724</v>
      </c>
      <c r="F461" t="s">
        <v>1336</v>
      </c>
      <c r="G461" t="s">
        <v>2524</v>
      </c>
      <c r="H461" t="s">
        <v>3280</v>
      </c>
      <c r="I461" t="s">
        <v>3494</v>
      </c>
      <c r="J461">
        <v>10304</v>
      </c>
      <c r="K461" t="s">
        <v>3522</v>
      </c>
      <c r="L461" t="s">
        <v>3525</v>
      </c>
      <c r="M461" t="s">
        <v>3746</v>
      </c>
      <c r="N461" t="s">
        <v>4109</v>
      </c>
      <c r="O461" t="s">
        <v>4134</v>
      </c>
      <c r="Q461" t="s">
        <v>4147</v>
      </c>
      <c r="R461" t="s">
        <v>3523</v>
      </c>
      <c r="T461" t="s">
        <v>4161</v>
      </c>
      <c r="U461" t="s">
        <v>4168</v>
      </c>
      <c r="V461" t="s">
        <v>225</v>
      </c>
      <c r="W461">
        <v>1949</v>
      </c>
      <c r="X461" t="s">
        <v>4195</v>
      </c>
      <c r="Y461" t="s">
        <v>4201</v>
      </c>
      <c r="Z461" t="s">
        <v>4618</v>
      </c>
      <c r="AB461" t="s">
        <v>5995</v>
      </c>
      <c r="AC461">
        <v>0</v>
      </c>
      <c r="AD461" t="s">
        <v>6778</v>
      </c>
      <c r="AE461" t="s">
        <v>3526</v>
      </c>
      <c r="AF461">
        <v>3</v>
      </c>
      <c r="AG461">
        <v>1</v>
      </c>
      <c r="AH461">
        <v>3</v>
      </c>
      <c r="AI461">
        <v>72.7</v>
      </c>
      <c r="AL461" t="s">
        <v>6801</v>
      </c>
      <c r="AM461">
        <v>18720</v>
      </c>
    </row>
    <row r="462" spans="1:44">
      <c r="A462" s="1">
        <f>HYPERLINK("https://lsnyc.legalserver.org/matter/dynamic-profile/view/1910959","19-1910959")</f>
        <v>0</v>
      </c>
      <c r="B462" t="s">
        <v>86</v>
      </c>
      <c r="C462" t="s">
        <v>198</v>
      </c>
      <c r="E462" t="s">
        <v>725</v>
      </c>
      <c r="F462" t="s">
        <v>1425</v>
      </c>
      <c r="G462" t="s">
        <v>2525</v>
      </c>
      <c r="H462">
        <v>21</v>
      </c>
      <c r="I462" t="s">
        <v>3495</v>
      </c>
      <c r="J462">
        <v>10034</v>
      </c>
      <c r="K462" t="s">
        <v>3522</v>
      </c>
      <c r="L462" t="s">
        <v>3525</v>
      </c>
      <c r="N462" t="s">
        <v>4113</v>
      </c>
      <c r="O462" t="s">
        <v>4136</v>
      </c>
      <c r="Q462" t="s">
        <v>4147</v>
      </c>
      <c r="R462" t="s">
        <v>3523</v>
      </c>
      <c r="T462" t="s">
        <v>4156</v>
      </c>
      <c r="V462" t="s">
        <v>198</v>
      </c>
      <c r="W462">
        <v>0</v>
      </c>
      <c r="X462" t="s">
        <v>4196</v>
      </c>
      <c r="Y462" t="s">
        <v>4205</v>
      </c>
      <c r="Z462" t="s">
        <v>4619</v>
      </c>
      <c r="AA462" t="s">
        <v>5575</v>
      </c>
      <c r="AC462">
        <v>88</v>
      </c>
      <c r="AD462" t="s">
        <v>6772</v>
      </c>
      <c r="AE462" t="s">
        <v>3526</v>
      </c>
      <c r="AF462">
        <v>6</v>
      </c>
      <c r="AG462">
        <v>1</v>
      </c>
      <c r="AH462">
        <v>3</v>
      </c>
      <c r="AI462">
        <v>72.7</v>
      </c>
      <c r="AL462" t="s">
        <v>6801</v>
      </c>
      <c r="AM462">
        <v>18720</v>
      </c>
    </row>
    <row r="463" spans="1:44">
      <c r="A463" s="1">
        <f>HYPERLINK("https://lsnyc.legalserver.org/matter/dynamic-profile/view/1908646","19-1908646")</f>
        <v>0</v>
      </c>
      <c r="B463" t="s">
        <v>117</v>
      </c>
      <c r="C463" t="s">
        <v>279</v>
      </c>
      <c r="E463" t="s">
        <v>488</v>
      </c>
      <c r="F463" t="s">
        <v>1516</v>
      </c>
      <c r="G463" t="s">
        <v>2526</v>
      </c>
      <c r="I463" t="s">
        <v>3488</v>
      </c>
      <c r="J463">
        <v>11354</v>
      </c>
      <c r="K463" t="s">
        <v>3522</v>
      </c>
      <c r="L463" t="s">
        <v>3525</v>
      </c>
      <c r="M463" t="s">
        <v>3747</v>
      </c>
      <c r="N463" t="s">
        <v>4109</v>
      </c>
      <c r="O463" t="s">
        <v>4134</v>
      </c>
      <c r="Q463" t="s">
        <v>4147</v>
      </c>
      <c r="R463" t="s">
        <v>3523</v>
      </c>
      <c r="T463" t="s">
        <v>4156</v>
      </c>
      <c r="U463" t="s">
        <v>4168</v>
      </c>
      <c r="V463" t="s">
        <v>279</v>
      </c>
      <c r="W463">
        <v>2400</v>
      </c>
      <c r="X463" t="s">
        <v>4192</v>
      </c>
      <c r="Y463" t="s">
        <v>4197</v>
      </c>
      <c r="Z463" t="s">
        <v>4620</v>
      </c>
      <c r="AA463" t="s">
        <v>5576</v>
      </c>
      <c r="AC463">
        <v>3</v>
      </c>
      <c r="AD463" t="s">
        <v>6771</v>
      </c>
      <c r="AE463" t="s">
        <v>4200</v>
      </c>
      <c r="AF463">
        <v>1</v>
      </c>
      <c r="AG463">
        <v>2</v>
      </c>
      <c r="AH463">
        <v>4</v>
      </c>
      <c r="AI463">
        <v>72.84999999999999</v>
      </c>
      <c r="AL463" t="s">
        <v>6802</v>
      </c>
      <c r="AM463">
        <v>25200</v>
      </c>
      <c r="AP463" t="s">
        <v>6926</v>
      </c>
    </row>
    <row r="464" spans="1:44">
      <c r="A464" s="1">
        <f>HYPERLINK("https://lsnyc.legalserver.org/matter/dynamic-profile/view/1905757","19-1905757")</f>
        <v>0</v>
      </c>
      <c r="B464" t="s">
        <v>97</v>
      </c>
      <c r="C464" t="s">
        <v>206</v>
      </c>
      <c r="E464" t="s">
        <v>726</v>
      </c>
      <c r="F464" t="s">
        <v>1576</v>
      </c>
      <c r="G464" t="s">
        <v>2527</v>
      </c>
      <c r="H464" t="s">
        <v>3173</v>
      </c>
      <c r="I464" t="s">
        <v>3490</v>
      </c>
      <c r="J464">
        <v>11221</v>
      </c>
      <c r="K464" t="s">
        <v>3522</v>
      </c>
      <c r="L464" t="s">
        <v>3525</v>
      </c>
      <c r="M464" t="s">
        <v>3554</v>
      </c>
      <c r="N464" t="s">
        <v>3554</v>
      </c>
      <c r="O464" t="s">
        <v>4135</v>
      </c>
      <c r="Q464" t="s">
        <v>4147</v>
      </c>
      <c r="R464" t="s">
        <v>3522</v>
      </c>
      <c r="T464" t="s">
        <v>4156</v>
      </c>
      <c r="U464" t="s">
        <v>4168</v>
      </c>
      <c r="V464" t="s">
        <v>251</v>
      </c>
      <c r="W464">
        <v>793</v>
      </c>
      <c r="X464" t="s">
        <v>4193</v>
      </c>
      <c r="Y464" t="s">
        <v>4206</v>
      </c>
      <c r="Z464" t="s">
        <v>4621</v>
      </c>
      <c r="AA464" t="s">
        <v>3526</v>
      </c>
      <c r="AB464" t="s">
        <v>5996</v>
      </c>
      <c r="AC464">
        <v>12</v>
      </c>
      <c r="AD464" t="s">
        <v>6772</v>
      </c>
      <c r="AE464" t="s">
        <v>3526</v>
      </c>
      <c r="AF464">
        <v>15</v>
      </c>
      <c r="AG464">
        <v>1</v>
      </c>
      <c r="AH464">
        <v>0</v>
      </c>
      <c r="AI464">
        <v>72.86</v>
      </c>
      <c r="AL464" t="s">
        <v>6801</v>
      </c>
      <c r="AM464">
        <v>9100</v>
      </c>
      <c r="AN464" t="s">
        <v>6849</v>
      </c>
    </row>
    <row r="465" spans="1:44">
      <c r="A465" s="1">
        <f>HYPERLINK("https://lsnyc.legalserver.org/matter/dynamic-profile/view/1909360","19-1909360")</f>
        <v>0</v>
      </c>
      <c r="B465" t="s">
        <v>75</v>
      </c>
      <c r="C465" t="s">
        <v>197</v>
      </c>
      <c r="D465" t="s">
        <v>247</v>
      </c>
      <c r="E465" t="s">
        <v>727</v>
      </c>
      <c r="F465" t="s">
        <v>1577</v>
      </c>
      <c r="G465" t="s">
        <v>2528</v>
      </c>
      <c r="H465" t="s">
        <v>3281</v>
      </c>
      <c r="I465" t="s">
        <v>3493</v>
      </c>
      <c r="J465">
        <v>10458</v>
      </c>
      <c r="K465" t="s">
        <v>3522</v>
      </c>
      <c r="L465" t="s">
        <v>3525</v>
      </c>
      <c r="M465" t="s">
        <v>3748</v>
      </c>
      <c r="N465" t="s">
        <v>4107</v>
      </c>
      <c r="O465" t="s">
        <v>4132</v>
      </c>
      <c r="P465" t="s">
        <v>4139</v>
      </c>
      <c r="Q465" t="s">
        <v>4147</v>
      </c>
      <c r="R465" t="s">
        <v>3523</v>
      </c>
      <c r="T465" t="s">
        <v>4156</v>
      </c>
      <c r="V465" t="s">
        <v>236</v>
      </c>
      <c r="W465">
        <v>1150</v>
      </c>
      <c r="X465" t="s">
        <v>4194</v>
      </c>
      <c r="Y465" t="s">
        <v>4206</v>
      </c>
      <c r="Z465" t="s">
        <v>4622</v>
      </c>
      <c r="AB465" t="s">
        <v>5997</v>
      </c>
      <c r="AC465">
        <v>94</v>
      </c>
      <c r="AD465" t="s">
        <v>6772</v>
      </c>
      <c r="AE465" t="s">
        <v>6790</v>
      </c>
      <c r="AF465">
        <v>8</v>
      </c>
      <c r="AG465">
        <v>1</v>
      </c>
      <c r="AH465">
        <v>0</v>
      </c>
      <c r="AI465">
        <v>72.90000000000001</v>
      </c>
      <c r="AL465" t="s">
        <v>6802</v>
      </c>
      <c r="AM465">
        <v>9105.360000000001</v>
      </c>
    </row>
    <row r="466" spans="1:44">
      <c r="A466" s="1">
        <f>HYPERLINK("https://lsnyc.legalserver.org/matter/dynamic-profile/view/1906045","19-1906045")</f>
        <v>0</v>
      </c>
      <c r="B466" t="s">
        <v>82</v>
      </c>
      <c r="C466" t="s">
        <v>207</v>
      </c>
      <c r="D466" t="s">
        <v>188</v>
      </c>
      <c r="E466" t="s">
        <v>728</v>
      </c>
      <c r="F466" t="s">
        <v>1578</v>
      </c>
      <c r="G466" t="s">
        <v>2529</v>
      </c>
      <c r="H466" t="s">
        <v>3259</v>
      </c>
      <c r="I466" t="s">
        <v>3493</v>
      </c>
      <c r="J466">
        <v>10467</v>
      </c>
      <c r="K466" t="s">
        <v>3522</v>
      </c>
      <c r="L466" t="s">
        <v>3525</v>
      </c>
      <c r="M466" t="s">
        <v>3749</v>
      </c>
      <c r="N466" t="s">
        <v>4110</v>
      </c>
      <c r="O466" t="s">
        <v>4135</v>
      </c>
      <c r="P466" t="s">
        <v>4142</v>
      </c>
      <c r="Q466" t="s">
        <v>4147</v>
      </c>
      <c r="R466" t="s">
        <v>3523</v>
      </c>
      <c r="T466" t="s">
        <v>4159</v>
      </c>
      <c r="V466" t="s">
        <v>241</v>
      </c>
      <c r="W466">
        <v>811</v>
      </c>
      <c r="X466" t="s">
        <v>4194</v>
      </c>
      <c r="Y466" t="s">
        <v>4201</v>
      </c>
      <c r="Z466" t="s">
        <v>4623</v>
      </c>
      <c r="AB466" t="s">
        <v>5998</v>
      </c>
      <c r="AC466">
        <v>53</v>
      </c>
      <c r="AD466" t="s">
        <v>6772</v>
      </c>
      <c r="AE466" t="s">
        <v>6791</v>
      </c>
      <c r="AF466">
        <v>42</v>
      </c>
      <c r="AG466">
        <v>1</v>
      </c>
      <c r="AH466">
        <v>0</v>
      </c>
      <c r="AI466">
        <v>73.02</v>
      </c>
      <c r="AL466" t="s">
        <v>6802</v>
      </c>
      <c r="AM466">
        <v>9120</v>
      </c>
    </row>
    <row r="467" spans="1:44">
      <c r="A467" s="1">
        <f>HYPERLINK("https://lsnyc.legalserver.org/matter/dynamic-profile/view/1904525","19-1904525")</f>
        <v>0</v>
      </c>
      <c r="B467" t="s">
        <v>82</v>
      </c>
      <c r="C467" t="s">
        <v>261</v>
      </c>
      <c r="D467" t="s">
        <v>206</v>
      </c>
      <c r="E467" t="s">
        <v>729</v>
      </c>
      <c r="F467" t="s">
        <v>1578</v>
      </c>
      <c r="G467" t="s">
        <v>2529</v>
      </c>
      <c r="H467" t="s">
        <v>3259</v>
      </c>
      <c r="I467" t="s">
        <v>3493</v>
      </c>
      <c r="J467">
        <v>10467</v>
      </c>
      <c r="K467" t="s">
        <v>3522</v>
      </c>
      <c r="L467" t="s">
        <v>3525</v>
      </c>
      <c r="M467" t="s">
        <v>3749</v>
      </c>
      <c r="N467" t="s">
        <v>4107</v>
      </c>
      <c r="O467" t="s">
        <v>4134</v>
      </c>
      <c r="P467" t="s">
        <v>4140</v>
      </c>
      <c r="Q467" t="s">
        <v>4147</v>
      </c>
      <c r="R467" t="s">
        <v>3523</v>
      </c>
      <c r="T467" t="s">
        <v>4156</v>
      </c>
      <c r="U467" t="s">
        <v>4168</v>
      </c>
      <c r="V467" t="s">
        <v>336</v>
      </c>
      <c r="W467">
        <v>811</v>
      </c>
      <c r="X467" t="s">
        <v>4194</v>
      </c>
      <c r="Y467" t="s">
        <v>4201</v>
      </c>
      <c r="Z467" t="s">
        <v>4623</v>
      </c>
      <c r="AB467" t="s">
        <v>5998</v>
      </c>
      <c r="AC467">
        <v>53</v>
      </c>
      <c r="AD467" t="s">
        <v>6772</v>
      </c>
      <c r="AE467" t="s">
        <v>6791</v>
      </c>
      <c r="AF467">
        <v>42</v>
      </c>
      <c r="AG467">
        <v>1</v>
      </c>
      <c r="AH467">
        <v>0</v>
      </c>
      <c r="AI467">
        <v>73.02</v>
      </c>
      <c r="AL467" t="s">
        <v>6802</v>
      </c>
      <c r="AM467">
        <v>9120</v>
      </c>
      <c r="AP467" t="s">
        <v>6928</v>
      </c>
      <c r="AQ467" t="s">
        <v>6945</v>
      </c>
      <c r="AR467" t="s">
        <v>6963</v>
      </c>
    </row>
    <row r="468" spans="1:44">
      <c r="A468" s="1">
        <f>HYPERLINK("https://lsnyc.legalserver.org/matter/dynamic-profile/view/1904528","19-1904528")</f>
        <v>0</v>
      </c>
      <c r="B468" t="s">
        <v>82</v>
      </c>
      <c r="C468" t="s">
        <v>261</v>
      </c>
      <c r="D468" t="s">
        <v>246</v>
      </c>
      <c r="E468" t="s">
        <v>729</v>
      </c>
      <c r="F468" t="s">
        <v>1578</v>
      </c>
      <c r="G468" t="s">
        <v>2529</v>
      </c>
      <c r="H468" t="s">
        <v>3259</v>
      </c>
      <c r="I468" t="s">
        <v>3493</v>
      </c>
      <c r="J468">
        <v>10467</v>
      </c>
      <c r="K468" t="s">
        <v>3522</v>
      </c>
      <c r="L468" t="s">
        <v>3525</v>
      </c>
      <c r="M468" t="s">
        <v>3749</v>
      </c>
      <c r="N468" t="s">
        <v>4116</v>
      </c>
      <c r="O468" t="s">
        <v>4135</v>
      </c>
      <c r="P468" t="s">
        <v>4142</v>
      </c>
      <c r="Q468" t="s">
        <v>4147</v>
      </c>
      <c r="R468" t="s">
        <v>3523</v>
      </c>
      <c r="T468" t="s">
        <v>4159</v>
      </c>
      <c r="V468" t="s">
        <v>336</v>
      </c>
      <c r="W468">
        <v>811</v>
      </c>
      <c r="X468" t="s">
        <v>4194</v>
      </c>
      <c r="Y468" t="s">
        <v>4201</v>
      </c>
      <c r="Z468" t="s">
        <v>4623</v>
      </c>
      <c r="AB468" t="s">
        <v>5998</v>
      </c>
      <c r="AC468">
        <v>53</v>
      </c>
      <c r="AD468" t="s">
        <v>6772</v>
      </c>
      <c r="AE468" t="s">
        <v>6791</v>
      </c>
      <c r="AF468">
        <v>42</v>
      </c>
      <c r="AG468">
        <v>1</v>
      </c>
      <c r="AH468">
        <v>0</v>
      </c>
      <c r="AI468">
        <v>73.02</v>
      </c>
      <c r="AL468" t="s">
        <v>6802</v>
      </c>
      <c r="AM468">
        <v>9120</v>
      </c>
    </row>
    <row r="469" spans="1:44">
      <c r="A469" s="1">
        <f>HYPERLINK("https://lsnyc.legalserver.org/matter/dynamic-profile/view/1911891","19-1911891")</f>
        <v>0</v>
      </c>
      <c r="B469" t="s">
        <v>86</v>
      </c>
      <c r="C469" t="s">
        <v>190</v>
      </c>
      <c r="D469" t="s">
        <v>181</v>
      </c>
      <c r="E469" t="s">
        <v>666</v>
      </c>
      <c r="F469" t="s">
        <v>1579</v>
      </c>
      <c r="G469" t="s">
        <v>2530</v>
      </c>
      <c r="H469" t="s">
        <v>3263</v>
      </c>
      <c r="I469" t="s">
        <v>3495</v>
      </c>
      <c r="J469">
        <v>10034</v>
      </c>
      <c r="K469" t="s">
        <v>3522</v>
      </c>
      <c r="L469" t="s">
        <v>3525</v>
      </c>
      <c r="M469" t="s">
        <v>3750</v>
      </c>
      <c r="N469" t="s">
        <v>4109</v>
      </c>
      <c r="O469" t="s">
        <v>4135</v>
      </c>
      <c r="P469" t="s">
        <v>4142</v>
      </c>
      <c r="Q469" t="s">
        <v>4147</v>
      </c>
      <c r="R469" t="s">
        <v>3523</v>
      </c>
      <c r="T469" t="s">
        <v>4156</v>
      </c>
      <c r="V469" t="s">
        <v>190</v>
      </c>
      <c r="W469">
        <v>160.2</v>
      </c>
      <c r="X469" t="s">
        <v>4196</v>
      </c>
      <c r="Y469" t="s">
        <v>4201</v>
      </c>
      <c r="Z469" t="s">
        <v>4624</v>
      </c>
      <c r="AB469" t="s">
        <v>5999</v>
      </c>
      <c r="AC469">
        <v>100</v>
      </c>
      <c r="AD469" t="s">
        <v>6772</v>
      </c>
      <c r="AE469" t="s">
        <v>4200</v>
      </c>
      <c r="AF469">
        <v>1</v>
      </c>
      <c r="AG469">
        <v>1</v>
      </c>
      <c r="AH469">
        <v>0</v>
      </c>
      <c r="AI469">
        <v>73.02</v>
      </c>
      <c r="AL469" t="s">
        <v>6801</v>
      </c>
      <c r="AM469">
        <v>9120</v>
      </c>
    </row>
    <row r="470" spans="1:44">
      <c r="A470" s="1">
        <f>HYPERLINK("https://lsnyc.legalserver.org/matter/dynamic-profile/view/1906523","19-1906523")</f>
        <v>0</v>
      </c>
      <c r="B470" t="s">
        <v>60</v>
      </c>
      <c r="C470" t="s">
        <v>320</v>
      </c>
      <c r="D470" t="s">
        <v>237</v>
      </c>
      <c r="E470" t="s">
        <v>730</v>
      </c>
      <c r="F470" t="s">
        <v>1580</v>
      </c>
      <c r="G470" t="s">
        <v>2531</v>
      </c>
      <c r="H470" t="s">
        <v>3152</v>
      </c>
      <c r="I470" t="s">
        <v>3490</v>
      </c>
      <c r="J470">
        <v>11212</v>
      </c>
      <c r="K470" t="s">
        <v>3522</v>
      </c>
      <c r="L470" t="s">
        <v>3525</v>
      </c>
      <c r="M470" t="s">
        <v>3751</v>
      </c>
      <c r="N470" t="s">
        <v>4109</v>
      </c>
      <c r="O470" t="s">
        <v>4135</v>
      </c>
      <c r="P470" t="s">
        <v>4142</v>
      </c>
      <c r="Q470" t="s">
        <v>4147</v>
      </c>
      <c r="R470" t="s">
        <v>3523</v>
      </c>
      <c r="T470" t="s">
        <v>4156</v>
      </c>
      <c r="U470" t="s">
        <v>4170</v>
      </c>
      <c r="V470" t="s">
        <v>185</v>
      </c>
      <c r="W470">
        <v>2001</v>
      </c>
      <c r="X470" t="s">
        <v>4193</v>
      </c>
      <c r="Y470" t="s">
        <v>4212</v>
      </c>
      <c r="Z470" t="s">
        <v>4625</v>
      </c>
      <c r="AA470" t="s">
        <v>3562</v>
      </c>
      <c r="AB470" t="s">
        <v>6000</v>
      </c>
      <c r="AC470">
        <v>74</v>
      </c>
      <c r="AD470" t="s">
        <v>6778</v>
      </c>
      <c r="AE470" t="s">
        <v>6789</v>
      </c>
      <c r="AF470">
        <v>11</v>
      </c>
      <c r="AG470">
        <v>2</v>
      </c>
      <c r="AH470">
        <v>1</v>
      </c>
      <c r="AI470">
        <v>73.14</v>
      </c>
      <c r="AL470" t="s">
        <v>6801</v>
      </c>
      <c r="AM470">
        <v>15600</v>
      </c>
    </row>
    <row r="471" spans="1:44">
      <c r="A471" s="1">
        <f>HYPERLINK("https://lsnyc.legalserver.org/matter/dynamic-profile/view/1904758","19-1904758")</f>
        <v>0</v>
      </c>
      <c r="B471" t="s">
        <v>83</v>
      </c>
      <c r="C471" t="s">
        <v>246</v>
      </c>
      <c r="D471" t="s">
        <v>189</v>
      </c>
      <c r="E471" t="s">
        <v>559</v>
      </c>
      <c r="F471" t="s">
        <v>1581</v>
      </c>
      <c r="G471" t="s">
        <v>2532</v>
      </c>
      <c r="H471" t="s">
        <v>3180</v>
      </c>
      <c r="I471" t="s">
        <v>3493</v>
      </c>
      <c r="J471">
        <v>10474</v>
      </c>
      <c r="K471" t="s">
        <v>3522</v>
      </c>
      <c r="L471" t="s">
        <v>3525</v>
      </c>
      <c r="N471" t="s">
        <v>4107</v>
      </c>
      <c r="O471" t="s">
        <v>4133</v>
      </c>
      <c r="P471" t="s">
        <v>4141</v>
      </c>
      <c r="Q471" t="s">
        <v>4147</v>
      </c>
      <c r="R471" t="s">
        <v>3523</v>
      </c>
      <c r="T471" t="s">
        <v>4156</v>
      </c>
      <c r="U471" t="s">
        <v>4168</v>
      </c>
      <c r="V471" t="s">
        <v>241</v>
      </c>
      <c r="W471">
        <v>912.41</v>
      </c>
      <c r="X471" t="s">
        <v>4194</v>
      </c>
      <c r="Y471" t="s">
        <v>4201</v>
      </c>
      <c r="Z471" t="s">
        <v>4626</v>
      </c>
      <c r="AC471">
        <v>60</v>
      </c>
      <c r="AD471" t="s">
        <v>6772</v>
      </c>
      <c r="AE471" t="s">
        <v>3526</v>
      </c>
      <c r="AF471">
        <v>15</v>
      </c>
      <c r="AG471">
        <v>3</v>
      </c>
      <c r="AH471">
        <v>0</v>
      </c>
      <c r="AI471">
        <v>73.14</v>
      </c>
      <c r="AL471" t="s">
        <v>6802</v>
      </c>
      <c r="AM471">
        <v>15600</v>
      </c>
    </row>
    <row r="472" spans="1:44">
      <c r="A472" s="1">
        <f>HYPERLINK("https://lsnyc.legalserver.org/matter/dynamic-profile/view/1908812","19-1908812")</f>
        <v>0</v>
      </c>
      <c r="B472" t="s">
        <v>138</v>
      </c>
      <c r="C472" t="s">
        <v>236</v>
      </c>
      <c r="D472" t="s">
        <v>236</v>
      </c>
      <c r="E472" t="s">
        <v>731</v>
      </c>
      <c r="F472" t="s">
        <v>1582</v>
      </c>
      <c r="G472" t="s">
        <v>2533</v>
      </c>
      <c r="H472" t="s">
        <v>3282</v>
      </c>
      <c r="I472" t="s">
        <v>3493</v>
      </c>
      <c r="J472">
        <v>10467</v>
      </c>
      <c r="K472" t="s">
        <v>3522</v>
      </c>
      <c r="L472" t="s">
        <v>3525</v>
      </c>
      <c r="M472" t="s">
        <v>3752</v>
      </c>
      <c r="N472" t="s">
        <v>4109</v>
      </c>
      <c r="O472" t="s">
        <v>4134</v>
      </c>
      <c r="P472" t="s">
        <v>4140</v>
      </c>
      <c r="Q472" t="s">
        <v>4147</v>
      </c>
      <c r="R472" t="s">
        <v>3523</v>
      </c>
      <c r="T472" t="s">
        <v>4156</v>
      </c>
      <c r="U472" t="s">
        <v>4168</v>
      </c>
      <c r="V472" t="s">
        <v>196</v>
      </c>
      <c r="W472">
        <v>1500</v>
      </c>
      <c r="X472" t="s">
        <v>4194</v>
      </c>
      <c r="Y472" t="s">
        <v>4201</v>
      </c>
      <c r="Z472" t="s">
        <v>4627</v>
      </c>
      <c r="AB472" t="s">
        <v>6001</v>
      </c>
      <c r="AC472">
        <v>64</v>
      </c>
      <c r="AD472" t="s">
        <v>6772</v>
      </c>
      <c r="AE472" t="s">
        <v>3526</v>
      </c>
      <c r="AF472">
        <v>0</v>
      </c>
      <c r="AG472">
        <v>2</v>
      </c>
      <c r="AH472">
        <v>1</v>
      </c>
      <c r="AI472">
        <v>73.14</v>
      </c>
      <c r="AL472" t="s">
        <v>6802</v>
      </c>
      <c r="AM472">
        <v>15600</v>
      </c>
    </row>
    <row r="473" spans="1:44">
      <c r="A473" s="1">
        <f>HYPERLINK("https://lsnyc.legalserver.org/matter/dynamic-profile/view/1914863","19-1914863")</f>
        <v>0</v>
      </c>
      <c r="B473" t="s">
        <v>85</v>
      </c>
      <c r="C473" t="s">
        <v>301</v>
      </c>
      <c r="E473" t="s">
        <v>732</v>
      </c>
      <c r="F473" t="s">
        <v>1583</v>
      </c>
      <c r="G473" t="s">
        <v>2534</v>
      </c>
      <c r="I473" t="s">
        <v>3494</v>
      </c>
      <c r="J473">
        <v>10301</v>
      </c>
      <c r="K473" t="s">
        <v>3522</v>
      </c>
      <c r="L473" t="s">
        <v>3525</v>
      </c>
      <c r="M473" t="s">
        <v>3753</v>
      </c>
      <c r="N473" t="s">
        <v>4107</v>
      </c>
      <c r="O473" t="s">
        <v>4134</v>
      </c>
      <c r="Q473" t="s">
        <v>4147</v>
      </c>
      <c r="R473" t="s">
        <v>3523</v>
      </c>
      <c r="T473" t="s">
        <v>4156</v>
      </c>
      <c r="V473" t="s">
        <v>301</v>
      </c>
      <c r="W473">
        <v>1200</v>
      </c>
      <c r="X473" t="s">
        <v>4195</v>
      </c>
      <c r="Y473" t="s">
        <v>4203</v>
      </c>
      <c r="Z473" t="s">
        <v>4628</v>
      </c>
      <c r="AB473" t="s">
        <v>6002</v>
      </c>
      <c r="AC473">
        <v>2</v>
      </c>
      <c r="AD473" t="s">
        <v>6771</v>
      </c>
      <c r="AE473" t="s">
        <v>3526</v>
      </c>
      <c r="AF473">
        <v>-1</v>
      </c>
      <c r="AG473">
        <v>1</v>
      </c>
      <c r="AH473">
        <v>2</v>
      </c>
      <c r="AI473">
        <v>73.14</v>
      </c>
      <c r="AL473" t="s">
        <v>6802</v>
      </c>
      <c r="AM473">
        <v>15600</v>
      </c>
    </row>
    <row r="474" spans="1:44">
      <c r="A474" s="1">
        <f>HYPERLINK("https://lsnyc.legalserver.org/matter/dynamic-profile/view/1908586","19-1908586")</f>
        <v>0</v>
      </c>
      <c r="B474" t="s">
        <v>94</v>
      </c>
      <c r="C474" t="s">
        <v>279</v>
      </c>
      <c r="E474" t="s">
        <v>441</v>
      </c>
      <c r="F474" t="s">
        <v>1584</v>
      </c>
      <c r="G474" t="s">
        <v>2396</v>
      </c>
      <c r="H474" t="s">
        <v>3283</v>
      </c>
      <c r="I474" t="s">
        <v>3495</v>
      </c>
      <c r="J474">
        <v>10035</v>
      </c>
      <c r="K474" t="s">
        <v>3522</v>
      </c>
      <c r="L474" t="s">
        <v>3525</v>
      </c>
      <c r="M474" t="s">
        <v>3754</v>
      </c>
      <c r="N474" t="s">
        <v>4109</v>
      </c>
      <c r="O474" t="s">
        <v>4134</v>
      </c>
      <c r="Q474" t="s">
        <v>4147</v>
      </c>
      <c r="R474" t="s">
        <v>3522</v>
      </c>
      <c r="T474" t="s">
        <v>4156</v>
      </c>
      <c r="U474" t="s">
        <v>4168</v>
      </c>
      <c r="V474" t="s">
        <v>217</v>
      </c>
      <c r="W474">
        <v>1630.81</v>
      </c>
      <c r="X474" t="s">
        <v>4196</v>
      </c>
      <c r="Y474" t="s">
        <v>4198</v>
      </c>
      <c r="Z474" t="s">
        <v>4629</v>
      </c>
      <c r="AB474" t="s">
        <v>6003</v>
      </c>
      <c r="AC474">
        <v>72</v>
      </c>
      <c r="AD474" t="s">
        <v>6772</v>
      </c>
      <c r="AE474" t="s">
        <v>6786</v>
      </c>
      <c r="AF474">
        <v>19</v>
      </c>
      <c r="AG474">
        <v>2</v>
      </c>
      <c r="AH474">
        <v>2</v>
      </c>
      <c r="AI474">
        <v>73.70999999999999</v>
      </c>
      <c r="AL474" t="s">
        <v>6801</v>
      </c>
      <c r="AM474">
        <v>18980</v>
      </c>
    </row>
    <row r="475" spans="1:44">
      <c r="A475" s="1">
        <f>HYPERLINK("https://lsnyc.legalserver.org/matter/dynamic-profile/view/1910139","19-1910139")</f>
        <v>0</v>
      </c>
      <c r="B475" t="s">
        <v>73</v>
      </c>
      <c r="C475" t="s">
        <v>230</v>
      </c>
      <c r="D475" t="s">
        <v>263</v>
      </c>
      <c r="E475" t="s">
        <v>588</v>
      </c>
      <c r="F475" t="s">
        <v>1585</v>
      </c>
      <c r="G475" t="s">
        <v>2535</v>
      </c>
      <c r="H475" t="s">
        <v>3284</v>
      </c>
      <c r="I475" t="s">
        <v>3493</v>
      </c>
      <c r="J475">
        <v>10451</v>
      </c>
      <c r="K475" t="s">
        <v>3522</v>
      </c>
      <c r="L475" t="s">
        <v>3525</v>
      </c>
      <c r="N475" t="s">
        <v>3554</v>
      </c>
      <c r="O475" t="s">
        <v>4132</v>
      </c>
      <c r="P475" t="s">
        <v>4139</v>
      </c>
      <c r="Q475" t="s">
        <v>4147</v>
      </c>
      <c r="R475" t="s">
        <v>3523</v>
      </c>
      <c r="T475" t="s">
        <v>4156</v>
      </c>
      <c r="V475" t="s">
        <v>201</v>
      </c>
      <c r="W475">
        <v>1061</v>
      </c>
      <c r="X475" t="s">
        <v>4194</v>
      </c>
      <c r="Y475" t="s">
        <v>4206</v>
      </c>
      <c r="Z475" t="s">
        <v>4630</v>
      </c>
      <c r="AB475" t="s">
        <v>6004</v>
      </c>
      <c r="AC475">
        <v>176</v>
      </c>
      <c r="AD475" t="s">
        <v>6772</v>
      </c>
      <c r="AE475" t="s">
        <v>6793</v>
      </c>
      <c r="AF475">
        <v>3</v>
      </c>
      <c r="AG475">
        <v>2</v>
      </c>
      <c r="AH475">
        <v>0</v>
      </c>
      <c r="AI475">
        <v>73.73</v>
      </c>
      <c r="AL475" t="s">
        <v>6801</v>
      </c>
      <c r="AM475">
        <v>12468</v>
      </c>
    </row>
    <row r="476" spans="1:44">
      <c r="A476" s="1">
        <f>HYPERLINK("https://lsnyc.legalserver.org/matter/dynamic-profile/view/1908585","19-1908585")</f>
        <v>0</v>
      </c>
      <c r="B476" t="s">
        <v>94</v>
      </c>
      <c r="C476" t="s">
        <v>279</v>
      </c>
      <c r="D476" t="s">
        <v>301</v>
      </c>
      <c r="E476" t="s">
        <v>733</v>
      </c>
      <c r="F476" t="s">
        <v>1370</v>
      </c>
      <c r="G476" t="s">
        <v>2536</v>
      </c>
      <c r="H476" t="s">
        <v>3285</v>
      </c>
      <c r="I476" t="s">
        <v>3495</v>
      </c>
      <c r="J476">
        <v>10035</v>
      </c>
      <c r="K476" t="s">
        <v>3522</v>
      </c>
      <c r="L476" t="s">
        <v>3525</v>
      </c>
      <c r="N476" t="s">
        <v>3554</v>
      </c>
      <c r="O476" t="s">
        <v>4132</v>
      </c>
      <c r="P476" t="s">
        <v>4139</v>
      </c>
      <c r="Q476" t="s">
        <v>4147</v>
      </c>
      <c r="R476" t="s">
        <v>3523</v>
      </c>
      <c r="T476" t="s">
        <v>4156</v>
      </c>
      <c r="U476" t="s">
        <v>4168</v>
      </c>
      <c r="V476" t="s">
        <v>298</v>
      </c>
      <c r="W476">
        <v>354</v>
      </c>
      <c r="X476" t="s">
        <v>4196</v>
      </c>
      <c r="Y476" t="s">
        <v>4198</v>
      </c>
      <c r="Z476" t="s">
        <v>4631</v>
      </c>
      <c r="AB476" t="s">
        <v>6005</v>
      </c>
      <c r="AC476">
        <v>24</v>
      </c>
      <c r="AD476" t="s">
        <v>5524</v>
      </c>
      <c r="AE476" t="s">
        <v>3526</v>
      </c>
      <c r="AF476">
        <v>33</v>
      </c>
      <c r="AG476">
        <v>1</v>
      </c>
      <c r="AH476">
        <v>0</v>
      </c>
      <c r="AI476">
        <v>73.79000000000001</v>
      </c>
      <c r="AL476" t="s">
        <v>6802</v>
      </c>
      <c r="AM476">
        <v>9216</v>
      </c>
    </row>
    <row r="477" spans="1:44">
      <c r="A477" s="1">
        <f>HYPERLINK("https://lsnyc.legalserver.org/matter/dynamic-profile/view/1909393","19-1909393")</f>
        <v>0</v>
      </c>
      <c r="B477" t="s">
        <v>82</v>
      </c>
      <c r="C477" t="s">
        <v>247</v>
      </c>
      <c r="E477" t="s">
        <v>734</v>
      </c>
      <c r="F477" t="s">
        <v>1586</v>
      </c>
      <c r="G477" t="s">
        <v>2232</v>
      </c>
      <c r="H477" t="s">
        <v>3286</v>
      </c>
      <c r="I477" t="s">
        <v>3493</v>
      </c>
      <c r="J477">
        <v>10457</v>
      </c>
      <c r="K477" t="s">
        <v>3522</v>
      </c>
      <c r="M477" t="s">
        <v>3620</v>
      </c>
      <c r="N477" t="s">
        <v>4110</v>
      </c>
      <c r="O477" t="s">
        <v>4137</v>
      </c>
      <c r="Q477" t="s">
        <v>4147</v>
      </c>
      <c r="R477" t="s">
        <v>3523</v>
      </c>
      <c r="T477" t="s">
        <v>4156</v>
      </c>
      <c r="V477" t="s">
        <v>4178</v>
      </c>
      <c r="W477">
        <v>816</v>
      </c>
      <c r="X477" t="s">
        <v>4194</v>
      </c>
      <c r="Y477" t="s">
        <v>4201</v>
      </c>
      <c r="Z477" t="s">
        <v>4632</v>
      </c>
      <c r="AB477" t="s">
        <v>6006</v>
      </c>
      <c r="AC477">
        <v>47</v>
      </c>
      <c r="AD477" t="s">
        <v>6772</v>
      </c>
      <c r="AE477" t="s">
        <v>6786</v>
      </c>
      <c r="AF477">
        <v>10</v>
      </c>
      <c r="AG477">
        <v>1</v>
      </c>
      <c r="AH477">
        <v>0</v>
      </c>
      <c r="AI477">
        <v>73.98</v>
      </c>
      <c r="AL477" t="s">
        <v>6801</v>
      </c>
      <c r="AM477">
        <v>9240</v>
      </c>
    </row>
    <row r="478" spans="1:44">
      <c r="A478" s="1">
        <f>HYPERLINK("https://lsnyc.legalserver.org/matter/dynamic-profile/view/1907382","19-1907382")</f>
        <v>0</v>
      </c>
      <c r="B478" t="s">
        <v>82</v>
      </c>
      <c r="C478" t="s">
        <v>210</v>
      </c>
      <c r="E478" t="s">
        <v>734</v>
      </c>
      <c r="F478" t="s">
        <v>1586</v>
      </c>
      <c r="G478" t="s">
        <v>2232</v>
      </c>
      <c r="H478" t="s">
        <v>3286</v>
      </c>
      <c r="I478" t="s">
        <v>3493</v>
      </c>
      <c r="J478">
        <v>10457</v>
      </c>
      <c r="K478" t="s">
        <v>3522</v>
      </c>
      <c r="L478" t="s">
        <v>3525</v>
      </c>
      <c r="M478" t="s">
        <v>3562</v>
      </c>
      <c r="N478" t="s">
        <v>4120</v>
      </c>
      <c r="O478" t="s">
        <v>4135</v>
      </c>
      <c r="Q478" t="s">
        <v>4147</v>
      </c>
      <c r="R478" t="s">
        <v>3523</v>
      </c>
      <c r="T478" t="s">
        <v>4161</v>
      </c>
      <c r="V478" t="s">
        <v>4175</v>
      </c>
      <c r="W478">
        <v>816</v>
      </c>
      <c r="X478" t="s">
        <v>4194</v>
      </c>
      <c r="Y478" t="s">
        <v>4201</v>
      </c>
      <c r="Z478" t="s">
        <v>4632</v>
      </c>
      <c r="AB478" t="s">
        <v>6006</v>
      </c>
      <c r="AC478">
        <v>47</v>
      </c>
      <c r="AD478" t="s">
        <v>6772</v>
      </c>
      <c r="AE478" t="s">
        <v>6786</v>
      </c>
      <c r="AF478">
        <v>10</v>
      </c>
      <c r="AG478">
        <v>1</v>
      </c>
      <c r="AH478">
        <v>0</v>
      </c>
      <c r="AI478">
        <v>73.98</v>
      </c>
      <c r="AL478" t="s">
        <v>6801</v>
      </c>
      <c r="AM478">
        <v>9240</v>
      </c>
    </row>
    <row r="479" spans="1:44">
      <c r="A479" s="1">
        <f>HYPERLINK("https://lsnyc.legalserver.org/matter/dynamic-profile/view/1913309","19-1913309")</f>
        <v>0</v>
      </c>
      <c r="B479" t="s">
        <v>99</v>
      </c>
      <c r="C479" t="s">
        <v>192</v>
      </c>
      <c r="E479" t="s">
        <v>679</v>
      </c>
      <c r="F479" t="s">
        <v>1587</v>
      </c>
      <c r="G479" t="s">
        <v>2373</v>
      </c>
      <c r="H479">
        <v>612</v>
      </c>
      <c r="I479" t="s">
        <v>3495</v>
      </c>
      <c r="J479">
        <v>10029</v>
      </c>
      <c r="K479" t="s">
        <v>3522</v>
      </c>
      <c r="L479" t="s">
        <v>3525</v>
      </c>
      <c r="N479" t="s">
        <v>4108</v>
      </c>
      <c r="O479" t="s">
        <v>4132</v>
      </c>
      <c r="Q479" t="s">
        <v>4147</v>
      </c>
      <c r="R479" t="s">
        <v>3522</v>
      </c>
      <c r="T479" t="s">
        <v>4156</v>
      </c>
      <c r="U479" t="s">
        <v>4168</v>
      </c>
      <c r="V479" t="s">
        <v>324</v>
      </c>
      <c r="W479">
        <v>0</v>
      </c>
      <c r="X479" t="s">
        <v>4196</v>
      </c>
      <c r="Y479" t="s">
        <v>4198</v>
      </c>
      <c r="Z479" t="s">
        <v>4633</v>
      </c>
      <c r="AB479" t="s">
        <v>6007</v>
      </c>
      <c r="AC479">
        <v>108</v>
      </c>
      <c r="AD479" t="s">
        <v>6778</v>
      </c>
      <c r="AE479" t="s">
        <v>6786</v>
      </c>
      <c r="AF479">
        <v>23</v>
      </c>
      <c r="AG479">
        <v>1</v>
      </c>
      <c r="AH479">
        <v>0</v>
      </c>
      <c r="AI479">
        <v>73.98</v>
      </c>
      <c r="AL479" t="s">
        <v>6802</v>
      </c>
      <c r="AM479">
        <v>9240</v>
      </c>
    </row>
    <row r="480" spans="1:44">
      <c r="A480" s="1">
        <f>HYPERLINK("https://lsnyc.legalserver.org/matter/dynamic-profile/view/1903928","19-1903928")</f>
        <v>0</v>
      </c>
      <c r="B480" t="s">
        <v>139</v>
      </c>
      <c r="C480" t="s">
        <v>259</v>
      </c>
      <c r="D480" t="s">
        <v>208</v>
      </c>
      <c r="E480" t="s">
        <v>735</v>
      </c>
      <c r="F480" t="s">
        <v>1588</v>
      </c>
      <c r="G480" t="s">
        <v>2537</v>
      </c>
      <c r="H480" t="s">
        <v>3149</v>
      </c>
      <c r="I480" t="s">
        <v>3490</v>
      </c>
      <c r="J480">
        <v>11239</v>
      </c>
      <c r="K480" t="s">
        <v>3522</v>
      </c>
      <c r="L480" t="s">
        <v>3525</v>
      </c>
      <c r="M480" t="s">
        <v>3755</v>
      </c>
      <c r="N480" t="s">
        <v>4107</v>
      </c>
      <c r="O480" t="s">
        <v>4135</v>
      </c>
      <c r="P480" t="s">
        <v>4142</v>
      </c>
      <c r="Q480" t="s">
        <v>4147</v>
      </c>
      <c r="R480" t="s">
        <v>3523</v>
      </c>
      <c r="T480" t="s">
        <v>4156</v>
      </c>
      <c r="V480" t="s">
        <v>259</v>
      </c>
      <c r="W480">
        <v>100</v>
      </c>
      <c r="X480" t="s">
        <v>4193</v>
      </c>
      <c r="Y480" t="s">
        <v>4197</v>
      </c>
      <c r="Z480" t="s">
        <v>4634</v>
      </c>
      <c r="AB480" t="s">
        <v>6008</v>
      </c>
      <c r="AC480">
        <v>20</v>
      </c>
      <c r="AF480">
        <v>3</v>
      </c>
      <c r="AG480">
        <v>1</v>
      </c>
      <c r="AH480">
        <v>0</v>
      </c>
      <c r="AI480">
        <v>74.08</v>
      </c>
      <c r="AL480" t="s">
        <v>6801</v>
      </c>
      <c r="AM480">
        <v>9252</v>
      </c>
    </row>
    <row r="481" spans="1:44">
      <c r="A481" s="1">
        <f>HYPERLINK("https://lsnyc.legalserver.org/matter/dynamic-profile/view/1910703","19-1910703")</f>
        <v>0</v>
      </c>
      <c r="B481" t="s">
        <v>53</v>
      </c>
      <c r="C481" t="s">
        <v>257</v>
      </c>
      <c r="E481" t="s">
        <v>644</v>
      </c>
      <c r="F481" t="s">
        <v>1589</v>
      </c>
      <c r="G481" t="s">
        <v>2538</v>
      </c>
      <c r="H481" t="s">
        <v>3287</v>
      </c>
      <c r="I481" t="s">
        <v>3510</v>
      </c>
      <c r="J481">
        <v>11238</v>
      </c>
      <c r="K481" t="s">
        <v>3522</v>
      </c>
      <c r="L481" t="s">
        <v>3525</v>
      </c>
      <c r="M481" t="s">
        <v>3756</v>
      </c>
      <c r="N481" t="s">
        <v>4109</v>
      </c>
      <c r="O481" t="s">
        <v>4134</v>
      </c>
      <c r="Q481" t="s">
        <v>4147</v>
      </c>
      <c r="R481" t="s">
        <v>3522</v>
      </c>
      <c r="T481" t="s">
        <v>4156</v>
      </c>
      <c r="U481" t="s">
        <v>4168</v>
      </c>
      <c r="V481" t="s">
        <v>233</v>
      </c>
      <c r="W481">
        <v>654.33</v>
      </c>
      <c r="X481" t="s">
        <v>4193</v>
      </c>
      <c r="Y481" t="s">
        <v>4201</v>
      </c>
      <c r="Z481" t="s">
        <v>4635</v>
      </c>
      <c r="AB481" t="s">
        <v>6009</v>
      </c>
      <c r="AC481">
        <v>29</v>
      </c>
      <c r="AD481" t="s">
        <v>6772</v>
      </c>
      <c r="AF481">
        <v>44</v>
      </c>
      <c r="AG481">
        <v>1</v>
      </c>
      <c r="AH481">
        <v>0</v>
      </c>
      <c r="AI481">
        <v>74.08</v>
      </c>
      <c r="AL481" t="s">
        <v>6801</v>
      </c>
      <c r="AM481">
        <v>9252</v>
      </c>
      <c r="AO481" t="s">
        <v>6915</v>
      </c>
    </row>
    <row r="482" spans="1:44">
      <c r="A482" s="1">
        <f>HYPERLINK("https://lsnyc.legalserver.org/matter/dynamic-profile/view/1912736","19-1912736")</f>
        <v>0</v>
      </c>
      <c r="B482" t="s">
        <v>64</v>
      </c>
      <c r="C482" t="s">
        <v>295</v>
      </c>
      <c r="E482" t="s">
        <v>557</v>
      </c>
      <c r="F482" t="s">
        <v>1590</v>
      </c>
      <c r="G482" t="s">
        <v>2539</v>
      </c>
      <c r="H482">
        <v>4</v>
      </c>
      <c r="I482" t="s">
        <v>3490</v>
      </c>
      <c r="J482">
        <v>11231</v>
      </c>
      <c r="K482" t="s">
        <v>3522</v>
      </c>
      <c r="L482" t="s">
        <v>3525</v>
      </c>
      <c r="N482" t="s">
        <v>4107</v>
      </c>
      <c r="O482" t="s">
        <v>4134</v>
      </c>
      <c r="Q482" t="s">
        <v>4147</v>
      </c>
      <c r="R482" t="s">
        <v>3523</v>
      </c>
      <c r="T482" t="s">
        <v>4156</v>
      </c>
      <c r="V482" t="s">
        <v>287</v>
      </c>
      <c r="W482">
        <v>670</v>
      </c>
      <c r="X482" t="s">
        <v>4193</v>
      </c>
      <c r="Y482" t="s">
        <v>4200</v>
      </c>
      <c r="Z482" t="s">
        <v>4636</v>
      </c>
      <c r="AB482" t="s">
        <v>6010</v>
      </c>
      <c r="AC482">
        <v>12</v>
      </c>
      <c r="AF482">
        <v>12</v>
      </c>
      <c r="AG482">
        <v>1</v>
      </c>
      <c r="AH482">
        <v>0</v>
      </c>
      <c r="AI482">
        <v>74.08</v>
      </c>
      <c r="AL482" t="s">
        <v>6801</v>
      </c>
      <c r="AM482">
        <v>9252</v>
      </c>
    </row>
    <row r="483" spans="1:44">
      <c r="A483" s="1">
        <f>HYPERLINK("https://lsnyc.legalserver.org/matter/dynamic-profile/view/1915199","19-1915199")</f>
        <v>0</v>
      </c>
      <c r="B483" t="s">
        <v>140</v>
      </c>
      <c r="C483" t="s">
        <v>321</v>
      </c>
      <c r="E483" t="s">
        <v>423</v>
      </c>
      <c r="F483" t="s">
        <v>1591</v>
      </c>
      <c r="G483" t="s">
        <v>2540</v>
      </c>
      <c r="H483">
        <v>23</v>
      </c>
      <c r="I483" t="s">
        <v>3490</v>
      </c>
      <c r="J483">
        <v>11225</v>
      </c>
      <c r="K483" t="s">
        <v>3522</v>
      </c>
      <c r="L483" t="s">
        <v>3525</v>
      </c>
      <c r="N483" t="s">
        <v>4110</v>
      </c>
      <c r="O483" t="s">
        <v>4137</v>
      </c>
      <c r="Q483" t="s">
        <v>4147</v>
      </c>
      <c r="R483" t="s">
        <v>3523</v>
      </c>
      <c r="T483" t="s">
        <v>4156</v>
      </c>
      <c r="U483" t="s">
        <v>4168</v>
      </c>
      <c r="V483" t="s">
        <v>336</v>
      </c>
      <c r="W483">
        <v>0</v>
      </c>
      <c r="X483" t="s">
        <v>4193</v>
      </c>
      <c r="Y483" t="s">
        <v>4201</v>
      </c>
      <c r="Z483" t="s">
        <v>4637</v>
      </c>
      <c r="AB483" t="s">
        <v>6011</v>
      </c>
      <c r="AC483">
        <v>0</v>
      </c>
      <c r="AF483">
        <v>40</v>
      </c>
      <c r="AG483">
        <v>1</v>
      </c>
      <c r="AH483">
        <v>0</v>
      </c>
      <c r="AI483">
        <v>74.08</v>
      </c>
      <c r="AK483" t="s">
        <v>6800</v>
      </c>
      <c r="AL483" t="s">
        <v>6802</v>
      </c>
      <c r="AM483">
        <v>9252</v>
      </c>
    </row>
    <row r="484" spans="1:44">
      <c r="A484" s="1">
        <f>HYPERLINK("https://lsnyc.legalserver.org/matter/dynamic-profile/view/1908100","19-1908100")</f>
        <v>0</v>
      </c>
      <c r="B484" t="s">
        <v>60</v>
      </c>
      <c r="C484" t="s">
        <v>262</v>
      </c>
      <c r="E484" t="s">
        <v>450</v>
      </c>
      <c r="F484" t="s">
        <v>1592</v>
      </c>
      <c r="G484" t="s">
        <v>2541</v>
      </c>
      <c r="H484" t="s">
        <v>3288</v>
      </c>
      <c r="I484" t="s">
        <v>3490</v>
      </c>
      <c r="J484">
        <v>11212</v>
      </c>
      <c r="K484" t="s">
        <v>3522</v>
      </c>
      <c r="L484" t="s">
        <v>3525</v>
      </c>
      <c r="M484" t="s">
        <v>3757</v>
      </c>
      <c r="N484" t="s">
        <v>4109</v>
      </c>
      <c r="O484" t="s">
        <v>4134</v>
      </c>
      <c r="Q484" t="s">
        <v>4147</v>
      </c>
      <c r="R484" t="s">
        <v>3523</v>
      </c>
      <c r="T484" t="s">
        <v>4156</v>
      </c>
      <c r="U484" t="s">
        <v>4168</v>
      </c>
      <c r="V484" t="s">
        <v>236</v>
      </c>
      <c r="W484">
        <v>1027</v>
      </c>
      <c r="X484" t="s">
        <v>4193</v>
      </c>
      <c r="Y484" t="s">
        <v>4203</v>
      </c>
      <c r="Z484" t="s">
        <v>4638</v>
      </c>
      <c r="AA484" t="s">
        <v>5488</v>
      </c>
      <c r="AB484" t="s">
        <v>6012</v>
      </c>
      <c r="AC484">
        <v>260</v>
      </c>
      <c r="AD484" t="s">
        <v>6778</v>
      </c>
      <c r="AE484" t="s">
        <v>6789</v>
      </c>
      <c r="AF484">
        <v>17</v>
      </c>
      <c r="AG484">
        <v>1</v>
      </c>
      <c r="AH484">
        <v>0</v>
      </c>
      <c r="AI484">
        <v>74.08</v>
      </c>
      <c r="AL484" t="s">
        <v>6801</v>
      </c>
      <c r="AM484">
        <v>9252</v>
      </c>
    </row>
    <row r="485" spans="1:44">
      <c r="A485" s="1">
        <f>HYPERLINK("https://lsnyc.legalserver.org/matter/dynamic-profile/view/1914391","19-1914391")</f>
        <v>0</v>
      </c>
      <c r="B485" t="s">
        <v>141</v>
      </c>
      <c r="C485" t="s">
        <v>289</v>
      </c>
      <c r="E485" t="s">
        <v>611</v>
      </c>
      <c r="F485" t="s">
        <v>1593</v>
      </c>
      <c r="G485" t="s">
        <v>2542</v>
      </c>
      <c r="H485" t="s">
        <v>3289</v>
      </c>
      <c r="I485" t="s">
        <v>3493</v>
      </c>
      <c r="J485">
        <v>10463</v>
      </c>
      <c r="K485" t="s">
        <v>3522</v>
      </c>
      <c r="L485" t="s">
        <v>3525</v>
      </c>
      <c r="O485" t="s">
        <v>4135</v>
      </c>
      <c r="Q485" t="s">
        <v>4147</v>
      </c>
      <c r="T485" t="s">
        <v>4156</v>
      </c>
      <c r="V485" t="s">
        <v>182</v>
      </c>
      <c r="W485">
        <v>0</v>
      </c>
      <c r="X485" t="s">
        <v>4194</v>
      </c>
      <c r="Z485" t="s">
        <v>4639</v>
      </c>
      <c r="AB485" t="s">
        <v>6013</v>
      </c>
      <c r="AC485">
        <v>0</v>
      </c>
      <c r="AF485">
        <v>0</v>
      </c>
      <c r="AG485">
        <v>1</v>
      </c>
      <c r="AH485">
        <v>0</v>
      </c>
      <c r="AI485">
        <v>74.08</v>
      </c>
      <c r="AL485" t="s">
        <v>6802</v>
      </c>
      <c r="AM485">
        <v>9252</v>
      </c>
    </row>
    <row r="486" spans="1:44">
      <c r="A486" s="1">
        <f>HYPERLINK("https://lsnyc.legalserver.org/matter/dynamic-profile/view/1908086","19-1908086")</f>
        <v>0</v>
      </c>
      <c r="B486" t="s">
        <v>77</v>
      </c>
      <c r="C486" t="s">
        <v>193</v>
      </c>
      <c r="D486" t="s">
        <v>267</v>
      </c>
      <c r="E486" t="s">
        <v>736</v>
      </c>
      <c r="F486" t="s">
        <v>1594</v>
      </c>
      <c r="G486" t="s">
        <v>2543</v>
      </c>
      <c r="H486" t="s">
        <v>3290</v>
      </c>
      <c r="I486" t="s">
        <v>3493</v>
      </c>
      <c r="J486">
        <v>10459</v>
      </c>
      <c r="K486" t="s">
        <v>3522</v>
      </c>
      <c r="L486" t="s">
        <v>3525</v>
      </c>
      <c r="O486" t="s">
        <v>4135</v>
      </c>
      <c r="P486" t="s">
        <v>4139</v>
      </c>
      <c r="Q486" t="s">
        <v>4147</v>
      </c>
      <c r="R486" t="s">
        <v>3523</v>
      </c>
      <c r="T486" t="s">
        <v>4156</v>
      </c>
      <c r="V486" t="s">
        <v>279</v>
      </c>
      <c r="W486">
        <v>1200</v>
      </c>
      <c r="X486" t="s">
        <v>4194</v>
      </c>
      <c r="Z486" t="s">
        <v>4640</v>
      </c>
      <c r="AB486" t="s">
        <v>6014</v>
      </c>
      <c r="AC486">
        <v>0</v>
      </c>
      <c r="AF486">
        <v>11</v>
      </c>
      <c r="AG486">
        <v>1</v>
      </c>
      <c r="AH486">
        <v>0</v>
      </c>
      <c r="AI486">
        <v>74.08</v>
      </c>
      <c r="AL486" t="s">
        <v>6802</v>
      </c>
      <c r="AM486">
        <v>9252</v>
      </c>
    </row>
    <row r="487" spans="1:44">
      <c r="A487" s="1">
        <f>HYPERLINK("https://lsnyc.legalserver.org/matter/dynamic-profile/view/1910932","19-1910932")</f>
        <v>0</v>
      </c>
      <c r="B487" t="s">
        <v>82</v>
      </c>
      <c r="C487" t="s">
        <v>198</v>
      </c>
      <c r="D487" t="s">
        <v>295</v>
      </c>
      <c r="E487" t="s">
        <v>688</v>
      </c>
      <c r="F487" t="s">
        <v>1595</v>
      </c>
      <c r="G487" t="s">
        <v>2544</v>
      </c>
      <c r="I487" t="s">
        <v>3493</v>
      </c>
      <c r="J487">
        <v>10457</v>
      </c>
      <c r="K487" t="s">
        <v>3522</v>
      </c>
      <c r="L487" t="s">
        <v>3525</v>
      </c>
      <c r="M487" t="s">
        <v>3758</v>
      </c>
      <c r="N487" t="s">
        <v>4109</v>
      </c>
      <c r="O487" t="s">
        <v>4132</v>
      </c>
      <c r="P487" t="s">
        <v>4139</v>
      </c>
      <c r="Q487" t="s">
        <v>4147</v>
      </c>
      <c r="R487" t="s">
        <v>3523</v>
      </c>
      <c r="T487" t="s">
        <v>4156</v>
      </c>
      <c r="U487" t="s">
        <v>4168</v>
      </c>
      <c r="V487" t="s">
        <v>295</v>
      </c>
      <c r="W487">
        <v>530</v>
      </c>
      <c r="X487" t="s">
        <v>4194</v>
      </c>
      <c r="Z487" t="s">
        <v>4641</v>
      </c>
      <c r="AB487" t="s">
        <v>6015</v>
      </c>
      <c r="AC487">
        <v>80</v>
      </c>
      <c r="AD487" t="s">
        <v>6777</v>
      </c>
      <c r="AF487">
        <v>10</v>
      </c>
      <c r="AG487">
        <v>1</v>
      </c>
      <c r="AH487">
        <v>0</v>
      </c>
      <c r="AI487">
        <v>74.08</v>
      </c>
      <c r="AL487" t="s">
        <v>6801</v>
      </c>
      <c r="AM487">
        <v>9252</v>
      </c>
    </row>
    <row r="488" spans="1:44">
      <c r="A488" s="1">
        <f>HYPERLINK("https://lsnyc.legalserver.org/matter/dynamic-profile/view/1906975","19-1906975")</f>
        <v>0</v>
      </c>
      <c r="B488" t="s">
        <v>142</v>
      </c>
      <c r="C488" t="s">
        <v>217</v>
      </c>
      <c r="E488" t="s">
        <v>737</v>
      </c>
      <c r="F488" t="s">
        <v>1596</v>
      </c>
      <c r="G488" t="s">
        <v>2450</v>
      </c>
      <c r="H488" t="s">
        <v>3291</v>
      </c>
      <c r="I488" t="s">
        <v>3493</v>
      </c>
      <c r="J488">
        <v>10453</v>
      </c>
      <c r="K488" t="s">
        <v>3522</v>
      </c>
      <c r="L488" t="s">
        <v>3525</v>
      </c>
      <c r="M488" t="s">
        <v>3562</v>
      </c>
      <c r="N488" t="s">
        <v>3554</v>
      </c>
      <c r="O488" t="s">
        <v>4132</v>
      </c>
      <c r="Q488" t="s">
        <v>4147</v>
      </c>
      <c r="R488" t="s">
        <v>3523</v>
      </c>
      <c r="T488" t="s">
        <v>4161</v>
      </c>
      <c r="U488" t="s">
        <v>4168</v>
      </c>
      <c r="V488" t="s">
        <v>279</v>
      </c>
      <c r="W488">
        <v>0</v>
      </c>
      <c r="X488" t="s">
        <v>4194</v>
      </c>
      <c r="Y488" t="s">
        <v>4201</v>
      </c>
      <c r="Z488" t="s">
        <v>4642</v>
      </c>
      <c r="AB488" t="s">
        <v>6016</v>
      </c>
      <c r="AC488">
        <v>44</v>
      </c>
      <c r="AD488" t="s">
        <v>6779</v>
      </c>
      <c r="AE488" t="s">
        <v>6786</v>
      </c>
      <c r="AF488">
        <v>0</v>
      </c>
      <c r="AG488">
        <v>1</v>
      </c>
      <c r="AH488">
        <v>0</v>
      </c>
      <c r="AI488">
        <v>74.08</v>
      </c>
      <c r="AL488" t="s">
        <v>6801</v>
      </c>
      <c r="AM488">
        <v>9252</v>
      </c>
    </row>
    <row r="489" spans="1:44">
      <c r="A489" s="1">
        <f>HYPERLINK("https://lsnyc.legalserver.org/matter/dynamic-profile/view/1912017","19-1912017")</f>
        <v>0</v>
      </c>
      <c r="B489" t="s">
        <v>124</v>
      </c>
      <c r="C489" t="s">
        <v>202</v>
      </c>
      <c r="D489" t="s">
        <v>202</v>
      </c>
      <c r="E489" t="s">
        <v>738</v>
      </c>
      <c r="F489" t="s">
        <v>1597</v>
      </c>
      <c r="G489" t="s">
        <v>2545</v>
      </c>
      <c r="H489" t="s">
        <v>3180</v>
      </c>
      <c r="I489" t="s">
        <v>3493</v>
      </c>
      <c r="J489">
        <v>10453</v>
      </c>
      <c r="K489" t="s">
        <v>3522</v>
      </c>
      <c r="L489" t="s">
        <v>3525</v>
      </c>
      <c r="N489" t="s">
        <v>3554</v>
      </c>
      <c r="O489" t="s">
        <v>4132</v>
      </c>
      <c r="P489" t="s">
        <v>4139</v>
      </c>
      <c r="Q489" t="s">
        <v>4147</v>
      </c>
      <c r="R489" t="s">
        <v>3523</v>
      </c>
      <c r="T489" t="s">
        <v>4156</v>
      </c>
      <c r="V489" t="s">
        <v>202</v>
      </c>
      <c r="W489">
        <v>895</v>
      </c>
      <c r="X489" t="s">
        <v>4194</v>
      </c>
      <c r="Y489" t="s">
        <v>4206</v>
      </c>
      <c r="Z489" t="s">
        <v>4643</v>
      </c>
      <c r="AB489" t="s">
        <v>6017</v>
      </c>
      <c r="AC489">
        <v>0</v>
      </c>
      <c r="AD489" t="s">
        <v>6772</v>
      </c>
      <c r="AE489" t="s">
        <v>6786</v>
      </c>
      <c r="AF489">
        <v>27</v>
      </c>
      <c r="AG489">
        <v>1</v>
      </c>
      <c r="AH489">
        <v>0</v>
      </c>
      <c r="AI489">
        <v>74.08</v>
      </c>
      <c r="AL489" t="s">
        <v>6801</v>
      </c>
      <c r="AM489">
        <v>9252</v>
      </c>
    </row>
    <row r="490" spans="1:44">
      <c r="A490" s="1">
        <f>HYPERLINK("https://lsnyc.legalserver.org/matter/dynamic-profile/view/1913321","19-1913321")</f>
        <v>0</v>
      </c>
      <c r="B490" t="s">
        <v>79</v>
      </c>
      <c r="C490" t="s">
        <v>192</v>
      </c>
      <c r="D490" t="s">
        <v>195</v>
      </c>
      <c r="E490" t="s">
        <v>738</v>
      </c>
      <c r="F490" t="s">
        <v>1597</v>
      </c>
      <c r="G490" t="s">
        <v>2545</v>
      </c>
      <c r="H490" t="s">
        <v>3180</v>
      </c>
      <c r="I490" t="s">
        <v>3493</v>
      </c>
      <c r="J490">
        <v>10453</v>
      </c>
      <c r="K490" t="s">
        <v>3522</v>
      </c>
      <c r="L490" t="s">
        <v>3525</v>
      </c>
      <c r="M490" t="s">
        <v>3759</v>
      </c>
      <c r="N490" t="s">
        <v>4109</v>
      </c>
      <c r="O490" t="s">
        <v>4132</v>
      </c>
      <c r="P490" t="s">
        <v>4139</v>
      </c>
      <c r="Q490" t="s">
        <v>4147</v>
      </c>
      <c r="R490" t="s">
        <v>3523</v>
      </c>
      <c r="T490" t="s">
        <v>4156</v>
      </c>
      <c r="U490" t="s">
        <v>4168</v>
      </c>
      <c r="V490" t="s">
        <v>238</v>
      </c>
      <c r="W490">
        <v>895.88</v>
      </c>
      <c r="X490" t="s">
        <v>4194</v>
      </c>
      <c r="Y490" t="s">
        <v>4201</v>
      </c>
      <c r="Z490" t="s">
        <v>4643</v>
      </c>
      <c r="AB490" t="s">
        <v>6017</v>
      </c>
      <c r="AC490">
        <v>0</v>
      </c>
      <c r="AD490" t="s">
        <v>6772</v>
      </c>
      <c r="AE490" t="s">
        <v>6786</v>
      </c>
      <c r="AF490">
        <v>29</v>
      </c>
      <c r="AG490">
        <v>1</v>
      </c>
      <c r="AH490">
        <v>0</v>
      </c>
      <c r="AI490">
        <v>74.08</v>
      </c>
      <c r="AL490" t="s">
        <v>6801</v>
      </c>
      <c r="AM490">
        <v>9252</v>
      </c>
    </row>
    <row r="491" spans="1:44">
      <c r="A491" s="1">
        <f>HYPERLINK("https://lsnyc.legalserver.org/matter/dynamic-profile/view/1914257","19-1914257")</f>
        <v>0</v>
      </c>
      <c r="B491" t="s">
        <v>96</v>
      </c>
      <c r="C491" t="s">
        <v>245</v>
      </c>
      <c r="E491" t="s">
        <v>739</v>
      </c>
      <c r="F491" t="s">
        <v>1379</v>
      </c>
      <c r="G491" t="s">
        <v>2346</v>
      </c>
      <c r="H491" t="s">
        <v>3292</v>
      </c>
      <c r="I491" t="s">
        <v>3493</v>
      </c>
      <c r="J491">
        <v>10452</v>
      </c>
      <c r="K491" t="s">
        <v>3522</v>
      </c>
      <c r="L491" t="s">
        <v>3527</v>
      </c>
      <c r="N491" t="s">
        <v>3554</v>
      </c>
      <c r="O491" t="s">
        <v>4132</v>
      </c>
      <c r="Q491" t="s">
        <v>4147</v>
      </c>
      <c r="T491" t="s">
        <v>4156</v>
      </c>
      <c r="V491" t="s">
        <v>245</v>
      </c>
      <c r="W491">
        <v>168</v>
      </c>
      <c r="X491" t="s">
        <v>4194</v>
      </c>
      <c r="Y491" t="s">
        <v>4206</v>
      </c>
      <c r="Z491" t="s">
        <v>4644</v>
      </c>
      <c r="AA491" t="s">
        <v>5577</v>
      </c>
      <c r="AB491" t="s">
        <v>6018</v>
      </c>
      <c r="AC491">
        <v>147</v>
      </c>
      <c r="AD491" t="s">
        <v>6772</v>
      </c>
      <c r="AE491" t="s">
        <v>6786</v>
      </c>
      <c r="AF491">
        <v>28</v>
      </c>
      <c r="AG491">
        <v>1</v>
      </c>
      <c r="AH491">
        <v>0</v>
      </c>
      <c r="AI491">
        <v>74.08</v>
      </c>
      <c r="AL491" t="s">
        <v>6802</v>
      </c>
      <c r="AM491">
        <v>9252</v>
      </c>
    </row>
    <row r="492" spans="1:44">
      <c r="A492" s="1">
        <f>HYPERLINK("https://lsnyc.legalserver.org/matter/dynamic-profile/view/1915497","19-1915497")</f>
        <v>0</v>
      </c>
      <c r="B492" t="s">
        <v>106</v>
      </c>
      <c r="C492" t="s">
        <v>258</v>
      </c>
      <c r="D492" t="s">
        <v>258</v>
      </c>
      <c r="E492" t="s">
        <v>739</v>
      </c>
      <c r="F492" t="s">
        <v>1379</v>
      </c>
      <c r="G492" t="s">
        <v>2346</v>
      </c>
      <c r="I492" t="s">
        <v>3493</v>
      </c>
      <c r="J492">
        <v>10452</v>
      </c>
      <c r="K492" t="s">
        <v>3522</v>
      </c>
      <c r="L492" t="s">
        <v>3525</v>
      </c>
      <c r="N492" t="s">
        <v>3554</v>
      </c>
      <c r="O492" t="s">
        <v>4132</v>
      </c>
      <c r="P492" t="s">
        <v>4139</v>
      </c>
      <c r="Q492" t="s">
        <v>4147</v>
      </c>
      <c r="T492" t="s">
        <v>4156</v>
      </c>
      <c r="U492" t="s">
        <v>4168</v>
      </c>
      <c r="V492" t="s">
        <v>258</v>
      </c>
      <c r="W492">
        <v>167</v>
      </c>
      <c r="X492" t="s">
        <v>4194</v>
      </c>
      <c r="Z492" t="s">
        <v>4644</v>
      </c>
      <c r="AB492" t="s">
        <v>6018</v>
      </c>
      <c r="AC492">
        <v>147</v>
      </c>
      <c r="AD492" t="s">
        <v>6772</v>
      </c>
      <c r="AE492" t="s">
        <v>6786</v>
      </c>
      <c r="AF492">
        <v>28</v>
      </c>
      <c r="AG492">
        <v>1</v>
      </c>
      <c r="AH492">
        <v>0</v>
      </c>
      <c r="AI492">
        <v>74.08</v>
      </c>
      <c r="AL492" t="s">
        <v>6802</v>
      </c>
      <c r="AM492">
        <v>9252</v>
      </c>
    </row>
    <row r="493" spans="1:44">
      <c r="A493" s="1">
        <f>HYPERLINK("https://lsnyc.legalserver.org/matter/dynamic-profile/view/1908291","19-1908291")</f>
        <v>0</v>
      </c>
      <c r="B493" t="s">
        <v>75</v>
      </c>
      <c r="C493" t="s">
        <v>211</v>
      </c>
      <c r="D493" t="s">
        <v>205</v>
      </c>
      <c r="E493" t="s">
        <v>670</v>
      </c>
      <c r="F493" t="s">
        <v>1598</v>
      </c>
      <c r="G493" t="s">
        <v>2546</v>
      </c>
      <c r="H493" t="s">
        <v>3282</v>
      </c>
      <c r="I493" t="s">
        <v>3493</v>
      </c>
      <c r="J493">
        <v>10452</v>
      </c>
      <c r="K493" t="s">
        <v>3522</v>
      </c>
      <c r="L493" t="s">
        <v>3525</v>
      </c>
      <c r="O493" t="s">
        <v>4132</v>
      </c>
      <c r="P493" t="s">
        <v>4139</v>
      </c>
      <c r="Q493" t="s">
        <v>4147</v>
      </c>
      <c r="R493" t="s">
        <v>3523</v>
      </c>
      <c r="T493" t="s">
        <v>4156</v>
      </c>
      <c r="V493" t="s">
        <v>205</v>
      </c>
      <c r="W493">
        <v>1144.49</v>
      </c>
      <c r="X493" t="s">
        <v>4194</v>
      </c>
      <c r="Y493" t="s">
        <v>4206</v>
      </c>
      <c r="Z493" t="s">
        <v>4645</v>
      </c>
      <c r="AB493" t="s">
        <v>6019</v>
      </c>
      <c r="AC493">
        <v>71</v>
      </c>
      <c r="AD493" t="s">
        <v>5524</v>
      </c>
      <c r="AE493" t="s">
        <v>6786</v>
      </c>
      <c r="AF493">
        <v>19</v>
      </c>
      <c r="AG493">
        <v>1</v>
      </c>
      <c r="AH493">
        <v>0</v>
      </c>
      <c r="AI493">
        <v>74.08</v>
      </c>
      <c r="AL493" t="s">
        <v>6801</v>
      </c>
      <c r="AM493">
        <v>9252</v>
      </c>
    </row>
    <row r="494" spans="1:44">
      <c r="A494" s="1">
        <f>HYPERLINK("https://lsnyc.legalserver.org/matter/dynamic-profile/view/1907182","19-1907182")</f>
        <v>0</v>
      </c>
      <c r="B494" t="s">
        <v>143</v>
      </c>
      <c r="C494" t="s">
        <v>239</v>
      </c>
      <c r="E494" t="s">
        <v>740</v>
      </c>
      <c r="F494" t="s">
        <v>1599</v>
      </c>
      <c r="G494" t="s">
        <v>2374</v>
      </c>
      <c r="H494" t="s">
        <v>3293</v>
      </c>
      <c r="I494" t="s">
        <v>3494</v>
      </c>
      <c r="J494">
        <v>10301</v>
      </c>
      <c r="K494" t="s">
        <v>3522</v>
      </c>
      <c r="L494" t="s">
        <v>3525</v>
      </c>
      <c r="M494" t="s">
        <v>3760</v>
      </c>
      <c r="N494" t="s">
        <v>4109</v>
      </c>
      <c r="O494" t="s">
        <v>4134</v>
      </c>
      <c r="Q494" t="s">
        <v>4147</v>
      </c>
      <c r="R494" t="s">
        <v>3523</v>
      </c>
      <c r="T494" t="s">
        <v>4161</v>
      </c>
      <c r="U494" t="s">
        <v>4168</v>
      </c>
      <c r="V494" t="s">
        <v>239</v>
      </c>
      <c r="W494">
        <v>215</v>
      </c>
      <c r="X494" t="s">
        <v>4195</v>
      </c>
      <c r="Y494" t="s">
        <v>4212</v>
      </c>
      <c r="Z494" t="s">
        <v>4646</v>
      </c>
      <c r="AB494" t="s">
        <v>6020</v>
      </c>
      <c r="AC494">
        <v>227</v>
      </c>
      <c r="AD494" t="s">
        <v>6776</v>
      </c>
      <c r="AE494" t="s">
        <v>6786</v>
      </c>
      <c r="AF494">
        <v>37</v>
      </c>
      <c r="AG494">
        <v>1</v>
      </c>
      <c r="AH494">
        <v>0</v>
      </c>
      <c r="AI494">
        <v>74.08</v>
      </c>
      <c r="AL494" t="s">
        <v>6801</v>
      </c>
      <c r="AM494">
        <v>9252</v>
      </c>
      <c r="AO494" t="s">
        <v>6916</v>
      </c>
      <c r="AP494" t="s">
        <v>6924</v>
      </c>
      <c r="AQ494" t="s">
        <v>6945</v>
      </c>
      <c r="AR494" t="s">
        <v>6981</v>
      </c>
    </row>
    <row r="495" spans="1:44">
      <c r="A495" s="1">
        <f>HYPERLINK("https://lsnyc.legalserver.org/matter/dynamic-profile/view/1911358","19-1911358")</f>
        <v>0</v>
      </c>
      <c r="B495" t="s">
        <v>87</v>
      </c>
      <c r="C495" t="s">
        <v>313</v>
      </c>
      <c r="D495" t="s">
        <v>260</v>
      </c>
      <c r="E495" t="s">
        <v>741</v>
      </c>
      <c r="F495" t="s">
        <v>1600</v>
      </c>
      <c r="G495" t="s">
        <v>2547</v>
      </c>
      <c r="H495" t="s">
        <v>3211</v>
      </c>
      <c r="I495" t="s">
        <v>3495</v>
      </c>
      <c r="J495">
        <v>10040</v>
      </c>
      <c r="K495" t="s">
        <v>3522</v>
      </c>
      <c r="L495" t="s">
        <v>3525</v>
      </c>
      <c r="N495" t="s">
        <v>3554</v>
      </c>
      <c r="O495" t="s">
        <v>4132</v>
      </c>
      <c r="P495" t="s">
        <v>4139</v>
      </c>
      <c r="Q495" t="s">
        <v>4147</v>
      </c>
      <c r="R495" t="s">
        <v>3523</v>
      </c>
      <c r="T495" t="s">
        <v>4156</v>
      </c>
      <c r="V495" t="s">
        <v>313</v>
      </c>
      <c r="W495">
        <v>703</v>
      </c>
      <c r="X495" t="s">
        <v>4196</v>
      </c>
      <c r="Y495" t="s">
        <v>4205</v>
      </c>
      <c r="Z495" t="s">
        <v>4647</v>
      </c>
      <c r="AB495" t="s">
        <v>6021</v>
      </c>
      <c r="AC495">
        <v>49</v>
      </c>
      <c r="AD495" t="s">
        <v>6772</v>
      </c>
      <c r="AE495" t="s">
        <v>6791</v>
      </c>
      <c r="AF495">
        <v>22</v>
      </c>
      <c r="AG495">
        <v>1</v>
      </c>
      <c r="AH495">
        <v>0</v>
      </c>
      <c r="AI495">
        <v>74.08</v>
      </c>
      <c r="AL495" t="s">
        <v>6802</v>
      </c>
      <c r="AM495">
        <v>9252</v>
      </c>
      <c r="AQ495" t="s">
        <v>6945</v>
      </c>
      <c r="AR495" t="s">
        <v>6970</v>
      </c>
    </row>
    <row r="496" spans="1:44">
      <c r="A496" s="1">
        <f>HYPERLINK("https://lsnyc.legalserver.org/matter/dynamic-profile/view/1910361","19-1910361")</f>
        <v>0</v>
      </c>
      <c r="B496" t="s">
        <v>144</v>
      </c>
      <c r="C496" t="s">
        <v>214</v>
      </c>
      <c r="D496" t="s">
        <v>332</v>
      </c>
      <c r="E496" t="s">
        <v>503</v>
      </c>
      <c r="F496" t="s">
        <v>1137</v>
      </c>
      <c r="G496" t="s">
        <v>2548</v>
      </c>
      <c r="H496" t="s">
        <v>3180</v>
      </c>
      <c r="I496" t="s">
        <v>3511</v>
      </c>
      <c r="J496">
        <v>10002</v>
      </c>
      <c r="K496" t="s">
        <v>3522</v>
      </c>
      <c r="L496" t="s">
        <v>3525</v>
      </c>
      <c r="N496" t="s">
        <v>3554</v>
      </c>
      <c r="O496" t="s">
        <v>4132</v>
      </c>
      <c r="P496" t="s">
        <v>4139</v>
      </c>
      <c r="Q496" t="s">
        <v>4147</v>
      </c>
      <c r="R496" t="s">
        <v>3523</v>
      </c>
      <c r="T496" t="s">
        <v>4156</v>
      </c>
      <c r="V496" t="s">
        <v>214</v>
      </c>
      <c r="W496">
        <v>250</v>
      </c>
      <c r="X496" t="s">
        <v>4196</v>
      </c>
      <c r="Y496" t="s">
        <v>4198</v>
      </c>
      <c r="Z496" t="s">
        <v>4648</v>
      </c>
      <c r="AB496" t="s">
        <v>6022</v>
      </c>
      <c r="AC496">
        <v>200</v>
      </c>
      <c r="AD496" t="s">
        <v>5524</v>
      </c>
      <c r="AE496" t="s">
        <v>6786</v>
      </c>
      <c r="AF496">
        <v>41</v>
      </c>
      <c r="AG496">
        <v>1</v>
      </c>
      <c r="AH496">
        <v>0</v>
      </c>
      <c r="AI496">
        <v>74.08</v>
      </c>
      <c r="AL496" t="s">
        <v>6801</v>
      </c>
      <c r="AM496">
        <v>9252</v>
      </c>
    </row>
    <row r="497" spans="1:44">
      <c r="A497" s="1">
        <f>HYPERLINK("https://lsnyc.legalserver.org/matter/dynamic-profile/view/1917021","19-1917021")</f>
        <v>0</v>
      </c>
      <c r="B497" t="s">
        <v>72</v>
      </c>
      <c r="C497" t="s">
        <v>242</v>
      </c>
      <c r="E497" t="s">
        <v>742</v>
      </c>
      <c r="F497" t="s">
        <v>1369</v>
      </c>
      <c r="G497" t="s">
        <v>2356</v>
      </c>
      <c r="H497" t="s">
        <v>3236</v>
      </c>
      <c r="I497" t="s">
        <v>3490</v>
      </c>
      <c r="J497">
        <v>11231</v>
      </c>
      <c r="K497" t="s">
        <v>3522</v>
      </c>
      <c r="L497" t="s">
        <v>3525</v>
      </c>
      <c r="M497" t="s">
        <v>3526</v>
      </c>
      <c r="N497" t="s">
        <v>3554</v>
      </c>
      <c r="O497" t="s">
        <v>4132</v>
      </c>
      <c r="Q497" t="s">
        <v>4147</v>
      </c>
      <c r="R497" t="s">
        <v>3522</v>
      </c>
      <c r="T497" t="s">
        <v>4156</v>
      </c>
      <c r="V497" t="s">
        <v>4180</v>
      </c>
      <c r="W497">
        <v>252</v>
      </c>
      <c r="X497" t="s">
        <v>4193</v>
      </c>
      <c r="Y497" t="s">
        <v>4204</v>
      </c>
      <c r="Z497" t="s">
        <v>4649</v>
      </c>
      <c r="AB497" t="s">
        <v>6023</v>
      </c>
      <c r="AC497">
        <v>36</v>
      </c>
      <c r="AD497" t="s">
        <v>6772</v>
      </c>
      <c r="AE497" t="s">
        <v>6790</v>
      </c>
      <c r="AF497">
        <v>2</v>
      </c>
      <c r="AG497">
        <v>1</v>
      </c>
      <c r="AH497">
        <v>1</v>
      </c>
      <c r="AI497">
        <v>74.25</v>
      </c>
      <c r="AL497" t="s">
        <v>6801</v>
      </c>
      <c r="AM497">
        <v>12555</v>
      </c>
    </row>
    <row r="498" spans="1:44">
      <c r="A498" s="1">
        <f>HYPERLINK("https://lsnyc.legalserver.org/matter/dynamic-profile/view/1911030","19-1911030")</f>
        <v>0</v>
      </c>
      <c r="B498" t="s">
        <v>84</v>
      </c>
      <c r="C498" t="s">
        <v>215</v>
      </c>
      <c r="E498" t="s">
        <v>743</v>
      </c>
      <c r="F498" t="s">
        <v>1601</v>
      </c>
      <c r="G498" t="s">
        <v>2549</v>
      </c>
      <c r="H498" t="s">
        <v>3144</v>
      </c>
      <c r="I498" t="s">
        <v>3494</v>
      </c>
      <c r="J498">
        <v>10304</v>
      </c>
      <c r="K498" t="s">
        <v>3523</v>
      </c>
      <c r="L498" t="s">
        <v>3526</v>
      </c>
      <c r="M498" t="s">
        <v>3761</v>
      </c>
      <c r="N498" t="s">
        <v>4109</v>
      </c>
      <c r="O498" t="s">
        <v>4134</v>
      </c>
      <c r="Q498" t="s">
        <v>4147</v>
      </c>
      <c r="R498" t="s">
        <v>3523</v>
      </c>
      <c r="T498" t="s">
        <v>4156</v>
      </c>
      <c r="U498" t="s">
        <v>4168</v>
      </c>
      <c r="V498" t="s">
        <v>215</v>
      </c>
      <c r="W498">
        <v>661</v>
      </c>
      <c r="X498" t="s">
        <v>4195</v>
      </c>
      <c r="Y498" t="s">
        <v>4209</v>
      </c>
      <c r="Z498" t="s">
        <v>4650</v>
      </c>
      <c r="AB498" t="s">
        <v>6024</v>
      </c>
      <c r="AC498">
        <v>403</v>
      </c>
      <c r="AD498" t="s">
        <v>6778</v>
      </c>
      <c r="AE498" t="s">
        <v>3526</v>
      </c>
      <c r="AF498">
        <v>1</v>
      </c>
      <c r="AG498">
        <v>2</v>
      </c>
      <c r="AH498">
        <v>1</v>
      </c>
      <c r="AI498">
        <v>74.26000000000001</v>
      </c>
      <c r="AL498" t="s">
        <v>6801</v>
      </c>
      <c r="AM498">
        <v>15840</v>
      </c>
    </row>
    <row r="499" spans="1:44">
      <c r="A499" s="1">
        <f>HYPERLINK("https://lsnyc.legalserver.org/matter/dynamic-profile/view/1908436","19-1908436")</f>
        <v>0</v>
      </c>
      <c r="B499" t="s">
        <v>120</v>
      </c>
      <c r="C499" t="s">
        <v>247</v>
      </c>
      <c r="D499" t="s">
        <v>359</v>
      </c>
      <c r="E499" t="s">
        <v>602</v>
      </c>
      <c r="F499" t="s">
        <v>1480</v>
      </c>
      <c r="G499" t="s">
        <v>2550</v>
      </c>
      <c r="H499" t="s">
        <v>3202</v>
      </c>
      <c r="I499" t="s">
        <v>3494</v>
      </c>
      <c r="J499">
        <v>10304</v>
      </c>
      <c r="K499" t="s">
        <v>3522</v>
      </c>
      <c r="L499" t="s">
        <v>3525</v>
      </c>
      <c r="M499" t="s">
        <v>3762</v>
      </c>
      <c r="N499" t="s">
        <v>4109</v>
      </c>
      <c r="O499" t="s">
        <v>4134</v>
      </c>
      <c r="P499" t="s">
        <v>4140</v>
      </c>
      <c r="Q499" t="s">
        <v>4147</v>
      </c>
      <c r="R499" t="s">
        <v>3523</v>
      </c>
      <c r="T499" t="s">
        <v>4156</v>
      </c>
      <c r="U499" t="s">
        <v>4168</v>
      </c>
      <c r="V499" t="s">
        <v>197</v>
      </c>
      <c r="W499">
        <v>169</v>
      </c>
      <c r="X499" t="s">
        <v>4195</v>
      </c>
      <c r="Y499" t="s">
        <v>4203</v>
      </c>
      <c r="Z499" t="s">
        <v>4651</v>
      </c>
      <c r="AB499" t="s">
        <v>6025</v>
      </c>
      <c r="AC499">
        <v>305</v>
      </c>
      <c r="AD499" t="s">
        <v>6778</v>
      </c>
      <c r="AE499" t="s">
        <v>6786</v>
      </c>
      <c r="AF499">
        <v>18</v>
      </c>
      <c r="AG499">
        <v>1</v>
      </c>
      <c r="AH499">
        <v>0</v>
      </c>
      <c r="AI499">
        <v>74.27</v>
      </c>
      <c r="AL499" t="s">
        <v>6801</v>
      </c>
      <c r="AM499">
        <v>9276</v>
      </c>
      <c r="AO499" t="s">
        <v>6919</v>
      </c>
      <c r="AP499" t="s">
        <v>6935</v>
      </c>
      <c r="AQ499" t="s">
        <v>6945</v>
      </c>
      <c r="AR499" t="s">
        <v>6982</v>
      </c>
    </row>
    <row r="500" spans="1:44">
      <c r="A500" s="1">
        <f>HYPERLINK("https://lsnyc.legalserver.org/matter/dynamic-profile/view/1906584","19-1906584")</f>
        <v>0</v>
      </c>
      <c r="B500" t="s">
        <v>74</v>
      </c>
      <c r="C500" t="s">
        <v>250</v>
      </c>
      <c r="D500" t="s">
        <v>253</v>
      </c>
      <c r="E500" t="s">
        <v>441</v>
      </c>
      <c r="F500" t="s">
        <v>1262</v>
      </c>
      <c r="G500" t="s">
        <v>2551</v>
      </c>
      <c r="H500" t="s">
        <v>3294</v>
      </c>
      <c r="I500" t="s">
        <v>3493</v>
      </c>
      <c r="J500">
        <v>10452</v>
      </c>
      <c r="K500" t="s">
        <v>3522</v>
      </c>
      <c r="L500" t="s">
        <v>3525</v>
      </c>
      <c r="N500" t="s">
        <v>3554</v>
      </c>
      <c r="O500" t="s">
        <v>4132</v>
      </c>
      <c r="P500" t="s">
        <v>4139</v>
      </c>
      <c r="Q500" t="s">
        <v>4147</v>
      </c>
      <c r="R500" t="s">
        <v>3523</v>
      </c>
      <c r="T500" t="s">
        <v>4156</v>
      </c>
      <c r="V500" t="s">
        <v>201</v>
      </c>
      <c r="W500">
        <v>640</v>
      </c>
      <c r="X500" t="s">
        <v>4194</v>
      </c>
      <c r="Y500" t="s">
        <v>4201</v>
      </c>
      <c r="Z500" t="s">
        <v>4652</v>
      </c>
      <c r="AB500" t="s">
        <v>6026</v>
      </c>
      <c r="AC500">
        <v>52</v>
      </c>
      <c r="AD500" t="s">
        <v>6772</v>
      </c>
      <c r="AE500" t="s">
        <v>6786</v>
      </c>
      <c r="AF500">
        <v>6</v>
      </c>
      <c r="AG500">
        <v>1</v>
      </c>
      <c r="AH500">
        <v>0</v>
      </c>
      <c r="AI500">
        <v>74.36</v>
      </c>
      <c r="AL500" t="s">
        <v>6801</v>
      </c>
      <c r="AM500">
        <v>9288</v>
      </c>
    </row>
    <row r="501" spans="1:44">
      <c r="A501" s="1">
        <f>HYPERLINK("https://lsnyc.legalserver.org/matter/dynamic-profile/view/1906244","19-1906244")</f>
        <v>0</v>
      </c>
      <c r="B501" t="s">
        <v>61</v>
      </c>
      <c r="C501" t="s">
        <v>188</v>
      </c>
      <c r="D501" t="s">
        <v>184</v>
      </c>
      <c r="E501" t="s">
        <v>744</v>
      </c>
      <c r="F501" t="s">
        <v>1602</v>
      </c>
      <c r="G501" t="s">
        <v>2552</v>
      </c>
      <c r="H501" t="s">
        <v>3158</v>
      </c>
      <c r="I501" t="s">
        <v>3490</v>
      </c>
      <c r="J501">
        <v>11233</v>
      </c>
      <c r="K501" t="s">
        <v>3522</v>
      </c>
      <c r="L501" t="s">
        <v>3525</v>
      </c>
      <c r="M501" t="s">
        <v>3553</v>
      </c>
      <c r="N501" t="s">
        <v>3554</v>
      </c>
      <c r="O501" t="s">
        <v>4135</v>
      </c>
      <c r="P501" t="s">
        <v>4142</v>
      </c>
      <c r="Q501" t="s">
        <v>4147</v>
      </c>
      <c r="R501" t="s">
        <v>3523</v>
      </c>
      <c r="T501" t="s">
        <v>4156</v>
      </c>
      <c r="V501" t="s">
        <v>188</v>
      </c>
      <c r="W501">
        <v>259</v>
      </c>
      <c r="X501" t="s">
        <v>4193</v>
      </c>
      <c r="Y501" t="s">
        <v>4201</v>
      </c>
      <c r="Z501" t="s">
        <v>4653</v>
      </c>
      <c r="AA501" t="s">
        <v>5488</v>
      </c>
      <c r="AC501">
        <v>6</v>
      </c>
      <c r="AD501" t="s">
        <v>6772</v>
      </c>
      <c r="AE501" t="s">
        <v>4200</v>
      </c>
      <c r="AF501">
        <v>9</v>
      </c>
      <c r="AG501">
        <v>1</v>
      </c>
      <c r="AH501">
        <v>0</v>
      </c>
      <c r="AI501">
        <v>74.45999999999999</v>
      </c>
      <c r="AL501" t="s">
        <v>6801</v>
      </c>
      <c r="AM501">
        <v>9300</v>
      </c>
    </row>
    <row r="502" spans="1:44">
      <c r="A502" s="1">
        <f>HYPERLINK("https://lsnyc.legalserver.org/matter/dynamic-profile/view/1910624","19-1910624")</f>
        <v>0</v>
      </c>
      <c r="B502" t="s">
        <v>52</v>
      </c>
      <c r="C502" t="s">
        <v>177</v>
      </c>
      <c r="E502" t="s">
        <v>745</v>
      </c>
      <c r="F502" t="s">
        <v>1603</v>
      </c>
      <c r="G502" t="s">
        <v>2203</v>
      </c>
      <c r="H502" t="s">
        <v>3216</v>
      </c>
      <c r="I502" t="s">
        <v>3490</v>
      </c>
      <c r="J502">
        <v>11226</v>
      </c>
      <c r="K502" t="s">
        <v>3522</v>
      </c>
      <c r="N502" t="s">
        <v>4108</v>
      </c>
      <c r="O502" t="s">
        <v>4134</v>
      </c>
      <c r="Q502" t="s">
        <v>4147</v>
      </c>
      <c r="R502" t="s">
        <v>3522</v>
      </c>
      <c r="T502" t="s">
        <v>4156</v>
      </c>
      <c r="U502" t="s">
        <v>4168</v>
      </c>
      <c r="V502" t="s">
        <v>373</v>
      </c>
      <c r="W502">
        <v>582.34</v>
      </c>
      <c r="X502" t="s">
        <v>4193</v>
      </c>
      <c r="Y502" t="s">
        <v>4206</v>
      </c>
      <c r="Z502" t="s">
        <v>4654</v>
      </c>
      <c r="AC502">
        <v>16</v>
      </c>
      <c r="AD502" t="s">
        <v>6772</v>
      </c>
      <c r="AF502">
        <v>29</v>
      </c>
      <c r="AG502">
        <v>2</v>
      </c>
      <c r="AH502">
        <v>0</v>
      </c>
      <c r="AI502">
        <v>74.51000000000001</v>
      </c>
      <c r="AL502" t="s">
        <v>6801</v>
      </c>
      <c r="AM502">
        <v>12600</v>
      </c>
    </row>
    <row r="503" spans="1:44">
      <c r="A503" s="1">
        <f>HYPERLINK("https://lsnyc.legalserver.org/matter/dynamic-profile/view/1905954","19-1905954")</f>
        <v>0</v>
      </c>
      <c r="B503" t="s">
        <v>86</v>
      </c>
      <c r="C503" t="s">
        <v>285</v>
      </c>
      <c r="E503" t="s">
        <v>423</v>
      </c>
      <c r="F503" t="s">
        <v>1357</v>
      </c>
      <c r="G503" t="s">
        <v>2553</v>
      </c>
      <c r="H503">
        <v>22</v>
      </c>
      <c r="I503" t="s">
        <v>3495</v>
      </c>
      <c r="J503">
        <v>10033</v>
      </c>
      <c r="K503" t="s">
        <v>3522</v>
      </c>
      <c r="L503" t="s">
        <v>3525</v>
      </c>
      <c r="N503" t="s">
        <v>4113</v>
      </c>
      <c r="O503" t="s">
        <v>4132</v>
      </c>
      <c r="Q503" t="s">
        <v>4147</v>
      </c>
      <c r="R503" t="s">
        <v>3523</v>
      </c>
      <c r="T503" t="s">
        <v>4156</v>
      </c>
      <c r="V503" t="s">
        <v>285</v>
      </c>
      <c r="W503">
        <v>1296.98</v>
      </c>
      <c r="X503" t="s">
        <v>4196</v>
      </c>
      <c r="Y503" t="s">
        <v>4207</v>
      </c>
      <c r="Z503" t="s">
        <v>4655</v>
      </c>
      <c r="AB503" t="s">
        <v>6027</v>
      </c>
      <c r="AC503">
        <v>41</v>
      </c>
      <c r="AD503" t="s">
        <v>6772</v>
      </c>
      <c r="AE503" t="s">
        <v>3526</v>
      </c>
      <c r="AF503">
        <v>26</v>
      </c>
      <c r="AG503">
        <v>1</v>
      </c>
      <c r="AH503">
        <v>0</v>
      </c>
      <c r="AI503">
        <v>74.72</v>
      </c>
      <c r="AL503" t="s">
        <v>6802</v>
      </c>
      <c r="AM503">
        <v>9332.440000000001</v>
      </c>
    </row>
    <row r="504" spans="1:44">
      <c r="A504" s="1">
        <f>HYPERLINK("https://lsnyc.legalserver.org/matter/dynamic-profile/view/1914971","19-1914971")</f>
        <v>0</v>
      </c>
      <c r="B504" t="s">
        <v>99</v>
      </c>
      <c r="C504" t="s">
        <v>219</v>
      </c>
      <c r="E504" t="s">
        <v>746</v>
      </c>
      <c r="F504" t="s">
        <v>1604</v>
      </c>
      <c r="G504" t="s">
        <v>2554</v>
      </c>
      <c r="H504" t="s">
        <v>3219</v>
      </c>
      <c r="I504" t="s">
        <v>3495</v>
      </c>
      <c r="J504">
        <v>10035</v>
      </c>
      <c r="K504" t="s">
        <v>3522</v>
      </c>
      <c r="L504" t="s">
        <v>3525</v>
      </c>
      <c r="N504" t="s">
        <v>3554</v>
      </c>
      <c r="O504" t="s">
        <v>4136</v>
      </c>
      <c r="Q504" t="s">
        <v>4147</v>
      </c>
      <c r="R504" t="s">
        <v>3523</v>
      </c>
      <c r="T504" t="s">
        <v>4156</v>
      </c>
      <c r="U504" t="s">
        <v>4168</v>
      </c>
      <c r="V504" t="s">
        <v>219</v>
      </c>
      <c r="W504">
        <v>399.05</v>
      </c>
      <c r="X504" t="s">
        <v>4196</v>
      </c>
      <c r="Y504" t="s">
        <v>4201</v>
      </c>
      <c r="Z504" t="s">
        <v>4656</v>
      </c>
      <c r="AB504" t="s">
        <v>6028</v>
      </c>
      <c r="AC504">
        <v>20</v>
      </c>
      <c r="AD504" t="s">
        <v>6772</v>
      </c>
      <c r="AE504" t="s">
        <v>3526</v>
      </c>
      <c r="AF504">
        <v>41</v>
      </c>
      <c r="AG504">
        <v>1</v>
      </c>
      <c r="AH504">
        <v>0</v>
      </c>
      <c r="AI504">
        <v>74.75</v>
      </c>
      <c r="AL504" t="s">
        <v>6801</v>
      </c>
      <c r="AM504">
        <v>9336</v>
      </c>
    </row>
    <row r="505" spans="1:44">
      <c r="A505" s="1">
        <f>HYPERLINK("https://lsnyc.legalserver.org/matter/dynamic-profile/view/1914134","19-1914134")</f>
        <v>0</v>
      </c>
      <c r="B505" t="s">
        <v>87</v>
      </c>
      <c r="C505" t="s">
        <v>191</v>
      </c>
      <c r="D505" t="s">
        <v>242</v>
      </c>
      <c r="E505" t="s">
        <v>492</v>
      </c>
      <c r="F505" t="s">
        <v>1605</v>
      </c>
      <c r="G505" t="s">
        <v>2555</v>
      </c>
      <c r="H505">
        <v>54</v>
      </c>
      <c r="I505" t="s">
        <v>3495</v>
      </c>
      <c r="J505">
        <v>10034</v>
      </c>
      <c r="K505" t="s">
        <v>3522</v>
      </c>
      <c r="L505" t="s">
        <v>3525</v>
      </c>
      <c r="O505" t="s">
        <v>4132</v>
      </c>
      <c r="P505" t="s">
        <v>4139</v>
      </c>
      <c r="Q505" t="s">
        <v>4147</v>
      </c>
      <c r="R505" t="s">
        <v>3523</v>
      </c>
      <c r="T505" t="s">
        <v>4156</v>
      </c>
      <c r="V505" t="s">
        <v>191</v>
      </c>
      <c r="W505">
        <v>1840</v>
      </c>
      <c r="X505" t="s">
        <v>4196</v>
      </c>
      <c r="Y505" t="s">
        <v>4205</v>
      </c>
      <c r="Z505" t="s">
        <v>4657</v>
      </c>
      <c r="AB505" t="s">
        <v>6029</v>
      </c>
      <c r="AC505">
        <v>28</v>
      </c>
      <c r="AD505" t="s">
        <v>6772</v>
      </c>
      <c r="AE505" t="s">
        <v>3526</v>
      </c>
      <c r="AF505">
        <v>8</v>
      </c>
      <c r="AG505">
        <v>1</v>
      </c>
      <c r="AH505">
        <v>0</v>
      </c>
      <c r="AI505">
        <v>74.94</v>
      </c>
      <c r="AL505" t="s">
        <v>6801</v>
      </c>
      <c r="AM505">
        <v>9360</v>
      </c>
    </row>
    <row r="506" spans="1:44">
      <c r="A506" s="1">
        <f>HYPERLINK("https://lsnyc.legalserver.org/matter/dynamic-profile/view/1910141","19-1910141")</f>
        <v>0</v>
      </c>
      <c r="B506" t="s">
        <v>81</v>
      </c>
      <c r="C506" t="s">
        <v>230</v>
      </c>
      <c r="E506" t="s">
        <v>747</v>
      </c>
      <c r="F506" t="s">
        <v>1606</v>
      </c>
      <c r="G506" t="s">
        <v>2556</v>
      </c>
      <c r="H506" t="s">
        <v>3141</v>
      </c>
      <c r="I506" t="s">
        <v>3493</v>
      </c>
      <c r="J506">
        <v>10468</v>
      </c>
      <c r="K506" t="s">
        <v>3522</v>
      </c>
      <c r="L506" t="s">
        <v>3525</v>
      </c>
      <c r="M506" t="s">
        <v>3763</v>
      </c>
      <c r="N506" t="s">
        <v>4108</v>
      </c>
      <c r="O506" t="s">
        <v>4132</v>
      </c>
      <c r="Q506" t="s">
        <v>4147</v>
      </c>
      <c r="R506" t="s">
        <v>3523</v>
      </c>
      <c r="T506" t="s">
        <v>4156</v>
      </c>
      <c r="V506" t="s">
        <v>196</v>
      </c>
      <c r="W506">
        <v>913.75</v>
      </c>
      <c r="X506" t="s">
        <v>4194</v>
      </c>
      <c r="Y506" t="s">
        <v>4206</v>
      </c>
      <c r="Z506" t="s">
        <v>4658</v>
      </c>
      <c r="AB506" t="s">
        <v>6030</v>
      </c>
      <c r="AC506">
        <v>0</v>
      </c>
      <c r="AD506" t="s">
        <v>6772</v>
      </c>
      <c r="AE506" t="s">
        <v>6791</v>
      </c>
      <c r="AF506">
        <v>16</v>
      </c>
      <c r="AG506">
        <v>1</v>
      </c>
      <c r="AH506">
        <v>0</v>
      </c>
      <c r="AI506">
        <v>75.13</v>
      </c>
      <c r="AM506">
        <v>9384</v>
      </c>
    </row>
    <row r="507" spans="1:44">
      <c r="A507" s="1">
        <f>HYPERLINK("https://lsnyc.legalserver.org/matter/dynamic-profile/view/1906273","19-1906273")</f>
        <v>0</v>
      </c>
      <c r="B507" t="s">
        <v>111</v>
      </c>
      <c r="C507" t="s">
        <v>276</v>
      </c>
      <c r="D507" t="s">
        <v>275</v>
      </c>
      <c r="E507" t="s">
        <v>748</v>
      </c>
      <c r="F507" t="s">
        <v>1607</v>
      </c>
      <c r="G507" t="s">
        <v>2557</v>
      </c>
      <c r="H507" t="s">
        <v>3295</v>
      </c>
      <c r="I507" t="s">
        <v>3490</v>
      </c>
      <c r="J507">
        <v>11233</v>
      </c>
      <c r="K507" t="s">
        <v>3522</v>
      </c>
      <c r="L507" t="s">
        <v>3525</v>
      </c>
      <c r="M507" t="s">
        <v>3764</v>
      </c>
      <c r="N507" t="s">
        <v>4107</v>
      </c>
      <c r="O507" t="s">
        <v>4134</v>
      </c>
      <c r="P507" t="s">
        <v>4140</v>
      </c>
      <c r="Q507" t="s">
        <v>4147</v>
      </c>
      <c r="R507" t="s">
        <v>3523</v>
      </c>
      <c r="T507" t="s">
        <v>4156</v>
      </c>
      <c r="U507" t="s">
        <v>4168</v>
      </c>
      <c r="V507" t="s">
        <v>320</v>
      </c>
      <c r="W507">
        <v>2300</v>
      </c>
      <c r="X507" t="s">
        <v>4193</v>
      </c>
      <c r="Y507" t="s">
        <v>4200</v>
      </c>
      <c r="Z507" t="s">
        <v>4659</v>
      </c>
      <c r="AB507" t="s">
        <v>6031</v>
      </c>
      <c r="AC507">
        <v>3</v>
      </c>
      <c r="AD507" t="s">
        <v>6771</v>
      </c>
      <c r="AE507" t="s">
        <v>6793</v>
      </c>
      <c r="AF507">
        <v>4</v>
      </c>
      <c r="AG507">
        <v>3</v>
      </c>
      <c r="AH507">
        <v>3</v>
      </c>
      <c r="AI507">
        <v>75.17</v>
      </c>
      <c r="AL507" t="s">
        <v>6801</v>
      </c>
      <c r="AM507">
        <v>26000</v>
      </c>
    </row>
    <row r="508" spans="1:44">
      <c r="A508" s="1">
        <f>HYPERLINK("https://lsnyc.legalserver.org/matter/dynamic-profile/view/1909226","19-1909226")</f>
        <v>0</v>
      </c>
      <c r="B508" t="s">
        <v>63</v>
      </c>
      <c r="C508" t="s">
        <v>234</v>
      </c>
      <c r="E508" t="s">
        <v>748</v>
      </c>
      <c r="F508" t="s">
        <v>1607</v>
      </c>
      <c r="G508" t="s">
        <v>2557</v>
      </c>
      <c r="H508" t="s">
        <v>3295</v>
      </c>
      <c r="I508" t="s">
        <v>3490</v>
      </c>
      <c r="J508">
        <v>11233</v>
      </c>
      <c r="K508" t="s">
        <v>3522</v>
      </c>
      <c r="L508" t="s">
        <v>3525</v>
      </c>
      <c r="M508" t="s">
        <v>3765</v>
      </c>
      <c r="N508" t="s">
        <v>4109</v>
      </c>
      <c r="O508" t="s">
        <v>4134</v>
      </c>
      <c r="Q508" t="s">
        <v>4147</v>
      </c>
      <c r="R508" t="s">
        <v>3523</v>
      </c>
      <c r="T508" t="s">
        <v>4156</v>
      </c>
      <c r="U508" t="s">
        <v>4168</v>
      </c>
      <c r="V508" t="s">
        <v>253</v>
      </c>
      <c r="W508">
        <v>2300</v>
      </c>
      <c r="X508" t="s">
        <v>4193</v>
      </c>
      <c r="Y508" t="s">
        <v>4201</v>
      </c>
      <c r="Z508" t="s">
        <v>4659</v>
      </c>
      <c r="AA508" t="s">
        <v>3526</v>
      </c>
      <c r="AB508" t="s">
        <v>6031</v>
      </c>
      <c r="AC508">
        <v>3</v>
      </c>
      <c r="AD508" t="s">
        <v>6772</v>
      </c>
      <c r="AE508" t="s">
        <v>6793</v>
      </c>
      <c r="AF508">
        <v>4</v>
      </c>
      <c r="AG508">
        <v>3</v>
      </c>
      <c r="AH508">
        <v>3</v>
      </c>
      <c r="AI508">
        <v>75.17</v>
      </c>
      <c r="AL508" t="s">
        <v>6801</v>
      </c>
      <c r="AM508">
        <v>26000</v>
      </c>
    </row>
    <row r="509" spans="1:44">
      <c r="A509" s="1">
        <f>HYPERLINK("https://lsnyc.legalserver.org/matter/dynamic-profile/view/1912969","19-1912969")</f>
        <v>0</v>
      </c>
      <c r="B509" t="s">
        <v>87</v>
      </c>
      <c r="C509" t="s">
        <v>196</v>
      </c>
      <c r="E509" t="s">
        <v>466</v>
      </c>
      <c r="F509" t="s">
        <v>1446</v>
      </c>
      <c r="G509" t="s">
        <v>2558</v>
      </c>
      <c r="H509" t="s">
        <v>3272</v>
      </c>
      <c r="I509" t="s">
        <v>3495</v>
      </c>
      <c r="J509">
        <v>10032</v>
      </c>
      <c r="K509" t="s">
        <v>3522</v>
      </c>
      <c r="L509" t="s">
        <v>3525</v>
      </c>
      <c r="O509" t="s">
        <v>4136</v>
      </c>
      <c r="Q509" t="s">
        <v>4147</v>
      </c>
      <c r="R509" t="s">
        <v>3523</v>
      </c>
      <c r="T509" t="s">
        <v>4156</v>
      </c>
      <c r="V509" t="s">
        <v>196</v>
      </c>
      <c r="W509">
        <v>2400</v>
      </c>
      <c r="X509" t="s">
        <v>4196</v>
      </c>
      <c r="Y509" t="s">
        <v>4198</v>
      </c>
      <c r="Z509" t="s">
        <v>4660</v>
      </c>
      <c r="AC509">
        <v>0</v>
      </c>
      <c r="AD509" t="s">
        <v>6772</v>
      </c>
      <c r="AE509" t="s">
        <v>3526</v>
      </c>
      <c r="AF509">
        <v>9</v>
      </c>
      <c r="AG509">
        <v>2</v>
      </c>
      <c r="AH509">
        <v>4</v>
      </c>
      <c r="AI509">
        <v>75.17</v>
      </c>
      <c r="AL509" t="s">
        <v>6802</v>
      </c>
      <c r="AM509">
        <v>26000</v>
      </c>
    </row>
    <row r="510" spans="1:44">
      <c r="A510" s="1">
        <f>HYPERLINK("https://lsnyc.legalserver.org/matter/dynamic-profile/view/1908106","19-1908106")</f>
        <v>0</v>
      </c>
      <c r="B510" t="s">
        <v>68</v>
      </c>
      <c r="C510" t="s">
        <v>262</v>
      </c>
      <c r="E510" t="s">
        <v>749</v>
      </c>
      <c r="F510" t="s">
        <v>1608</v>
      </c>
      <c r="G510" t="s">
        <v>2334</v>
      </c>
      <c r="H510" t="s">
        <v>3161</v>
      </c>
      <c r="I510" t="s">
        <v>3490</v>
      </c>
      <c r="J510">
        <v>11213</v>
      </c>
      <c r="K510" t="s">
        <v>3522</v>
      </c>
      <c r="L510" t="s">
        <v>3525</v>
      </c>
      <c r="M510" t="s">
        <v>3766</v>
      </c>
      <c r="N510" t="s">
        <v>4110</v>
      </c>
      <c r="O510" t="s">
        <v>4137</v>
      </c>
      <c r="Q510" t="s">
        <v>4147</v>
      </c>
      <c r="R510" t="s">
        <v>3523</v>
      </c>
      <c r="T510" t="s">
        <v>4156</v>
      </c>
      <c r="U510" t="s">
        <v>4168</v>
      </c>
      <c r="V510" t="s">
        <v>262</v>
      </c>
      <c r="W510">
        <v>0</v>
      </c>
      <c r="X510" t="s">
        <v>4193</v>
      </c>
      <c r="Y510" t="s">
        <v>4205</v>
      </c>
      <c r="Z510" t="s">
        <v>4661</v>
      </c>
      <c r="AB510" t="s">
        <v>6032</v>
      </c>
      <c r="AC510">
        <v>35</v>
      </c>
      <c r="AD510" t="s">
        <v>6772</v>
      </c>
      <c r="AF510">
        <v>0</v>
      </c>
      <c r="AG510">
        <v>3</v>
      </c>
      <c r="AH510">
        <v>1</v>
      </c>
      <c r="AI510">
        <v>75.5</v>
      </c>
      <c r="AL510" t="s">
        <v>6801</v>
      </c>
      <c r="AM510">
        <v>19440</v>
      </c>
    </row>
    <row r="511" spans="1:44">
      <c r="A511" s="1">
        <f>HYPERLINK("https://lsnyc.legalserver.org/matter/dynamic-profile/view/1910156","19-1910156")</f>
        <v>0</v>
      </c>
      <c r="B511" t="s">
        <v>108</v>
      </c>
      <c r="C511" t="s">
        <v>318</v>
      </c>
      <c r="E511" t="s">
        <v>750</v>
      </c>
      <c r="F511" t="s">
        <v>1609</v>
      </c>
      <c r="G511" t="s">
        <v>2559</v>
      </c>
      <c r="I511" t="s">
        <v>3512</v>
      </c>
      <c r="J511">
        <v>11357</v>
      </c>
      <c r="K511" t="s">
        <v>3522</v>
      </c>
      <c r="L511" t="s">
        <v>3525</v>
      </c>
      <c r="M511" t="s">
        <v>3767</v>
      </c>
      <c r="N511" t="s">
        <v>4107</v>
      </c>
      <c r="O511" t="s">
        <v>4134</v>
      </c>
      <c r="Q511" t="s">
        <v>4148</v>
      </c>
      <c r="R511" t="s">
        <v>3523</v>
      </c>
      <c r="T511" t="s">
        <v>4156</v>
      </c>
      <c r="U511" t="s">
        <v>4172</v>
      </c>
      <c r="V511" t="s">
        <v>318</v>
      </c>
      <c r="W511">
        <v>0.01</v>
      </c>
      <c r="X511" t="s">
        <v>4192</v>
      </c>
      <c r="Y511" t="s">
        <v>4199</v>
      </c>
      <c r="Z511" t="s">
        <v>4662</v>
      </c>
      <c r="AA511" t="s">
        <v>5482</v>
      </c>
      <c r="AB511" t="s">
        <v>6033</v>
      </c>
      <c r="AC511">
        <v>2</v>
      </c>
      <c r="AD511" t="s">
        <v>6771</v>
      </c>
      <c r="AE511" t="s">
        <v>3526</v>
      </c>
      <c r="AF511">
        <v>4</v>
      </c>
      <c r="AG511">
        <v>1</v>
      </c>
      <c r="AH511">
        <v>0</v>
      </c>
      <c r="AI511">
        <v>75.8</v>
      </c>
      <c r="AJ511" t="s">
        <v>6795</v>
      </c>
      <c r="AK511" t="s">
        <v>6798</v>
      </c>
      <c r="AL511" t="s">
        <v>6801</v>
      </c>
      <c r="AM511">
        <v>9468</v>
      </c>
      <c r="AP511" t="s">
        <v>6926</v>
      </c>
    </row>
    <row r="512" spans="1:44">
      <c r="A512" s="1">
        <f>HYPERLINK("https://lsnyc.legalserver.org/matter/dynamic-profile/view/1907769","19-1907769")</f>
        <v>0</v>
      </c>
      <c r="B512" t="s">
        <v>97</v>
      </c>
      <c r="C512" t="s">
        <v>222</v>
      </c>
      <c r="E512" t="s">
        <v>751</v>
      </c>
      <c r="F512" t="s">
        <v>1402</v>
      </c>
      <c r="G512" t="s">
        <v>2264</v>
      </c>
      <c r="H512" t="s">
        <v>3170</v>
      </c>
      <c r="I512" t="s">
        <v>3490</v>
      </c>
      <c r="J512">
        <v>11212</v>
      </c>
      <c r="K512" t="s">
        <v>3522</v>
      </c>
      <c r="L512" t="s">
        <v>3525</v>
      </c>
      <c r="M512" t="s">
        <v>3526</v>
      </c>
      <c r="N512" t="s">
        <v>4112</v>
      </c>
      <c r="O512" t="s">
        <v>4135</v>
      </c>
      <c r="Q512" t="s">
        <v>4147</v>
      </c>
      <c r="R512" t="s">
        <v>3522</v>
      </c>
      <c r="T512" t="s">
        <v>4156</v>
      </c>
      <c r="U512" t="s">
        <v>4168</v>
      </c>
      <c r="V512" t="s">
        <v>217</v>
      </c>
      <c r="W512">
        <v>257</v>
      </c>
      <c r="X512" t="s">
        <v>4193</v>
      </c>
      <c r="Y512" t="s">
        <v>4206</v>
      </c>
      <c r="Z512" t="s">
        <v>4663</v>
      </c>
      <c r="AA512" t="s">
        <v>5505</v>
      </c>
      <c r="AB512" t="s">
        <v>6034</v>
      </c>
      <c r="AC512">
        <v>96</v>
      </c>
      <c r="AD512" t="s">
        <v>6772</v>
      </c>
      <c r="AE512" t="s">
        <v>4200</v>
      </c>
      <c r="AF512">
        <v>6</v>
      </c>
      <c r="AG512">
        <v>1</v>
      </c>
      <c r="AH512">
        <v>0</v>
      </c>
      <c r="AI512">
        <v>76</v>
      </c>
      <c r="AL512" t="s">
        <v>6801</v>
      </c>
      <c r="AM512">
        <v>9492</v>
      </c>
    </row>
    <row r="513" spans="1:44">
      <c r="A513" s="1">
        <f>HYPERLINK("https://lsnyc.legalserver.org/matter/dynamic-profile/view/1910748","19-1910748")</f>
        <v>0</v>
      </c>
      <c r="B513" t="s">
        <v>69</v>
      </c>
      <c r="C513" t="s">
        <v>257</v>
      </c>
      <c r="E513" t="s">
        <v>752</v>
      </c>
      <c r="F513" t="s">
        <v>1610</v>
      </c>
      <c r="G513" t="s">
        <v>2560</v>
      </c>
      <c r="I513" t="s">
        <v>3490</v>
      </c>
      <c r="J513">
        <v>11208</v>
      </c>
      <c r="K513" t="s">
        <v>3522</v>
      </c>
      <c r="L513" t="s">
        <v>3525</v>
      </c>
      <c r="M513" t="s">
        <v>3768</v>
      </c>
      <c r="N513" t="s">
        <v>4109</v>
      </c>
      <c r="O513" t="s">
        <v>4134</v>
      </c>
      <c r="Q513" t="s">
        <v>4147</v>
      </c>
      <c r="R513" t="s">
        <v>3523</v>
      </c>
      <c r="T513" t="s">
        <v>4156</v>
      </c>
      <c r="U513" t="s">
        <v>4168</v>
      </c>
      <c r="V513" t="s">
        <v>257</v>
      </c>
      <c r="W513">
        <v>1057</v>
      </c>
      <c r="X513" t="s">
        <v>4193</v>
      </c>
      <c r="Y513" t="s">
        <v>4200</v>
      </c>
      <c r="Z513" t="s">
        <v>4664</v>
      </c>
      <c r="AA513" t="s">
        <v>5578</v>
      </c>
      <c r="AB513" t="s">
        <v>6035</v>
      </c>
      <c r="AC513">
        <v>300</v>
      </c>
      <c r="AD513" t="s">
        <v>6779</v>
      </c>
      <c r="AE513" t="s">
        <v>6792</v>
      </c>
      <c r="AF513">
        <v>2</v>
      </c>
      <c r="AG513">
        <v>1</v>
      </c>
      <c r="AH513">
        <v>0</v>
      </c>
      <c r="AI513">
        <v>76</v>
      </c>
      <c r="AL513" t="s">
        <v>6801</v>
      </c>
      <c r="AM513">
        <v>9492</v>
      </c>
    </row>
    <row r="514" spans="1:44">
      <c r="A514" s="1">
        <f>HYPERLINK("https://lsnyc.legalserver.org/matter/dynamic-profile/view/1905947","19-1905947")</f>
        <v>0</v>
      </c>
      <c r="B514" t="s">
        <v>145</v>
      </c>
      <c r="C514" t="s">
        <v>285</v>
      </c>
      <c r="D514" t="s">
        <v>240</v>
      </c>
      <c r="E514" t="s">
        <v>753</v>
      </c>
      <c r="F514" t="s">
        <v>1611</v>
      </c>
      <c r="G514" t="s">
        <v>2561</v>
      </c>
      <c r="H514" t="s">
        <v>3296</v>
      </c>
      <c r="I514" t="s">
        <v>3495</v>
      </c>
      <c r="J514">
        <v>10032</v>
      </c>
      <c r="K514" t="s">
        <v>3522</v>
      </c>
      <c r="L514" t="s">
        <v>3527</v>
      </c>
      <c r="M514" t="s">
        <v>3769</v>
      </c>
      <c r="N514" t="s">
        <v>4107</v>
      </c>
      <c r="O514" t="s">
        <v>4132</v>
      </c>
      <c r="P514" t="s">
        <v>4139</v>
      </c>
      <c r="Q514" t="s">
        <v>4147</v>
      </c>
      <c r="R514" t="s">
        <v>3523</v>
      </c>
      <c r="T514" t="s">
        <v>4156</v>
      </c>
      <c r="V514" t="s">
        <v>285</v>
      </c>
      <c r="W514">
        <v>711</v>
      </c>
      <c r="X514" t="s">
        <v>4196</v>
      </c>
      <c r="Y514" t="s">
        <v>4197</v>
      </c>
      <c r="Z514" t="s">
        <v>4665</v>
      </c>
      <c r="AA514" t="s">
        <v>5579</v>
      </c>
      <c r="AB514" t="s">
        <v>6036</v>
      </c>
      <c r="AC514">
        <v>22</v>
      </c>
      <c r="AD514" t="s">
        <v>6772</v>
      </c>
      <c r="AE514" t="s">
        <v>3526</v>
      </c>
      <c r="AF514">
        <v>30</v>
      </c>
      <c r="AG514">
        <v>1</v>
      </c>
      <c r="AH514">
        <v>0</v>
      </c>
      <c r="AI514">
        <v>76</v>
      </c>
      <c r="AL514" t="s">
        <v>6802</v>
      </c>
      <c r="AM514">
        <v>9492</v>
      </c>
    </row>
    <row r="515" spans="1:44">
      <c r="A515" s="1">
        <f>HYPERLINK("https://lsnyc.legalserver.org/matter/dynamic-profile/view/1907767","19-1907767")</f>
        <v>0</v>
      </c>
      <c r="B515" t="s">
        <v>97</v>
      </c>
      <c r="C515" t="s">
        <v>222</v>
      </c>
      <c r="E515" t="s">
        <v>637</v>
      </c>
      <c r="F515" t="s">
        <v>856</v>
      </c>
      <c r="G515" t="s">
        <v>2264</v>
      </c>
      <c r="H515" t="s">
        <v>3155</v>
      </c>
      <c r="I515" t="s">
        <v>3490</v>
      </c>
      <c r="J515">
        <v>11212</v>
      </c>
      <c r="K515" t="s">
        <v>3522</v>
      </c>
      <c r="L515" t="s">
        <v>3525</v>
      </c>
      <c r="M515" t="s">
        <v>3526</v>
      </c>
      <c r="N515" t="s">
        <v>4112</v>
      </c>
      <c r="O515" t="s">
        <v>4135</v>
      </c>
      <c r="Q515" t="s">
        <v>4147</v>
      </c>
      <c r="R515" t="s">
        <v>3522</v>
      </c>
      <c r="T515" t="s">
        <v>4156</v>
      </c>
      <c r="V515" t="s">
        <v>250</v>
      </c>
      <c r="W515">
        <v>165</v>
      </c>
      <c r="X515" t="s">
        <v>4193</v>
      </c>
      <c r="Y515" t="s">
        <v>4206</v>
      </c>
      <c r="Z515" t="s">
        <v>4666</v>
      </c>
      <c r="AA515" t="s">
        <v>3526</v>
      </c>
      <c r="AB515" t="s">
        <v>6037</v>
      </c>
      <c r="AC515">
        <v>96</v>
      </c>
      <c r="AD515" t="s">
        <v>6772</v>
      </c>
      <c r="AE515" t="s">
        <v>4200</v>
      </c>
      <c r="AF515">
        <v>6</v>
      </c>
      <c r="AG515">
        <v>1</v>
      </c>
      <c r="AH515">
        <v>0</v>
      </c>
      <c r="AI515">
        <v>76.29000000000001</v>
      </c>
      <c r="AL515" t="s">
        <v>6801</v>
      </c>
      <c r="AM515">
        <v>9528</v>
      </c>
    </row>
    <row r="516" spans="1:44">
      <c r="A516" s="1">
        <f>HYPERLINK("https://lsnyc.legalserver.org/matter/dynamic-profile/view/1912653","19-1912653")</f>
        <v>0</v>
      </c>
      <c r="B516" t="s">
        <v>77</v>
      </c>
      <c r="C516" t="s">
        <v>256</v>
      </c>
      <c r="D516" t="s">
        <v>204</v>
      </c>
      <c r="E516" t="s">
        <v>754</v>
      </c>
      <c r="F516" t="s">
        <v>1612</v>
      </c>
      <c r="G516" t="s">
        <v>2346</v>
      </c>
      <c r="H516" t="s">
        <v>3297</v>
      </c>
      <c r="I516" t="s">
        <v>3493</v>
      </c>
      <c r="J516">
        <v>10452</v>
      </c>
      <c r="K516" t="s">
        <v>3522</v>
      </c>
      <c r="L516" t="s">
        <v>3525</v>
      </c>
      <c r="N516" t="s">
        <v>3554</v>
      </c>
      <c r="O516" t="s">
        <v>4135</v>
      </c>
      <c r="P516" t="s">
        <v>4142</v>
      </c>
      <c r="Q516" t="s">
        <v>4147</v>
      </c>
      <c r="R516" t="s">
        <v>3523</v>
      </c>
      <c r="T516" t="s">
        <v>4156</v>
      </c>
      <c r="V516" t="s">
        <v>265</v>
      </c>
      <c r="W516">
        <v>231.3</v>
      </c>
      <c r="X516" t="s">
        <v>4194</v>
      </c>
      <c r="Y516" t="s">
        <v>4200</v>
      </c>
      <c r="Z516" t="s">
        <v>4667</v>
      </c>
      <c r="AB516" t="s">
        <v>6038</v>
      </c>
      <c r="AC516">
        <v>147</v>
      </c>
      <c r="AD516" t="s">
        <v>6772</v>
      </c>
      <c r="AE516" t="s">
        <v>4200</v>
      </c>
      <c r="AF516">
        <v>24</v>
      </c>
      <c r="AG516">
        <v>1</v>
      </c>
      <c r="AH516">
        <v>0</v>
      </c>
      <c r="AI516">
        <v>76.73999999999999</v>
      </c>
      <c r="AL516" t="s">
        <v>6801</v>
      </c>
      <c r="AM516">
        <v>9584.52</v>
      </c>
    </row>
    <row r="517" spans="1:44">
      <c r="A517" s="1">
        <f>HYPERLINK("https://lsnyc.legalserver.org/matter/dynamic-profile/view/1908389","19-1908389")</f>
        <v>0</v>
      </c>
      <c r="B517" t="s">
        <v>60</v>
      </c>
      <c r="C517" t="s">
        <v>303</v>
      </c>
      <c r="E517" t="s">
        <v>755</v>
      </c>
      <c r="F517" t="s">
        <v>1613</v>
      </c>
      <c r="G517" t="s">
        <v>2562</v>
      </c>
      <c r="H517" t="s">
        <v>3290</v>
      </c>
      <c r="I517" t="s">
        <v>3490</v>
      </c>
      <c r="J517">
        <v>11239</v>
      </c>
      <c r="K517" t="s">
        <v>3522</v>
      </c>
      <c r="L517" t="s">
        <v>3525</v>
      </c>
      <c r="M517" t="s">
        <v>3770</v>
      </c>
      <c r="N517" t="s">
        <v>4107</v>
      </c>
      <c r="O517" t="s">
        <v>4134</v>
      </c>
      <c r="Q517" t="s">
        <v>4147</v>
      </c>
      <c r="R517" t="s">
        <v>3523</v>
      </c>
      <c r="T517" t="s">
        <v>4156</v>
      </c>
      <c r="U517" t="s">
        <v>4168</v>
      </c>
      <c r="V517" t="s">
        <v>178</v>
      </c>
      <c r="W517">
        <v>2050</v>
      </c>
      <c r="X517" t="s">
        <v>4193</v>
      </c>
      <c r="Y517" t="s">
        <v>4203</v>
      </c>
      <c r="Z517" t="s">
        <v>4668</v>
      </c>
      <c r="AA517" t="s">
        <v>5485</v>
      </c>
      <c r="AC517">
        <v>1164</v>
      </c>
      <c r="AD517" t="s">
        <v>6778</v>
      </c>
      <c r="AE517" t="s">
        <v>6786</v>
      </c>
      <c r="AF517">
        <v>3</v>
      </c>
      <c r="AG517">
        <v>1</v>
      </c>
      <c r="AH517">
        <v>0</v>
      </c>
      <c r="AI517">
        <v>76.86</v>
      </c>
      <c r="AL517" t="s">
        <v>6801</v>
      </c>
      <c r="AM517">
        <v>9600</v>
      </c>
    </row>
    <row r="518" spans="1:44">
      <c r="A518" s="1">
        <f>HYPERLINK("https://lsnyc.legalserver.org/matter/dynamic-profile/view/1912882","19-1912882")</f>
        <v>0</v>
      </c>
      <c r="B518" t="s">
        <v>146</v>
      </c>
      <c r="C518" t="s">
        <v>253</v>
      </c>
      <c r="E518" t="s">
        <v>756</v>
      </c>
      <c r="F518" t="s">
        <v>1614</v>
      </c>
      <c r="G518" t="s">
        <v>2563</v>
      </c>
      <c r="H518" t="s">
        <v>3298</v>
      </c>
      <c r="I518" t="s">
        <v>3490</v>
      </c>
      <c r="J518">
        <v>11226</v>
      </c>
      <c r="K518" t="s">
        <v>3522</v>
      </c>
      <c r="L518" t="s">
        <v>3525</v>
      </c>
      <c r="N518" t="s">
        <v>3554</v>
      </c>
      <c r="O518" t="s">
        <v>4133</v>
      </c>
      <c r="Q518" t="s">
        <v>4147</v>
      </c>
      <c r="R518" t="s">
        <v>3523</v>
      </c>
      <c r="T518" t="s">
        <v>4156</v>
      </c>
      <c r="V518" t="s">
        <v>253</v>
      </c>
      <c r="W518">
        <v>865</v>
      </c>
      <c r="X518" t="s">
        <v>4193</v>
      </c>
      <c r="Z518" t="s">
        <v>4669</v>
      </c>
      <c r="AB518" t="s">
        <v>6039</v>
      </c>
      <c r="AC518">
        <v>0</v>
      </c>
      <c r="AF518">
        <v>37</v>
      </c>
      <c r="AG518">
        <v>1</v>
      </c>
      <c r="AH518">
        <v>0</v>
      </c>
      <c r="AI518">
        <v>76.86</v>
      </c>
      <c r="AL518" t="s">
        <v>6801</v>
      </c>
      <c r="AM518">
        <v>9600</v>
      </c>
    </row>
    <row r="519" spans="1:44">
      <c r="A519" s="1">
        <f>HYPERLINK("https://lsnyc.legalserver.org/matter/dynamic-profile/view/1901141","19-1901141")</f>
        <v>0</v>
      </c>
      <c r="B519" t="s">
        <v>147</v>
      </c>
      <c r="C519" t="s">
        <v>300</v>
      </c>
      <c r="E519" t="s">
        <v>757</v>
      </c>
      <c r="F519" t="s">
        <v>1615</v>
      </c>
      <c r="G519" t="s">
        <v>2564</v>
      </c>
      <c r="H519" t="s">
        <v>3299</v>
      </c>
      <c r="I519" t="s">
        <v>3490</v>
      </c>
      <c r="J519">
        <v>11212</v>
      </c>
      <c r="K519" t="s">
        <v>3522</v>
      </c>
      <c r="L519" t="s">
        <v>3526</v>
      </c>
      <c r="M519" t="s">
        <v>3553</v>
      </c>
      <c r="N519" t="s">
        <v>4109</v>
      </c>
      <c r="O519" t="s">
        <v>4132</v>
      </c>
      <c r="Q519" t="s">
        <v>4147</v>
      </c>
      <c r="R519" t="s">
        <v>3523</v>
      </c>
      <c r="T519" t="s">
        <v>4156</v>
      </c>
      <c r="U519" t="s">
        <v>4168</v>
      </c>
      <c r="V519" t="s">
        <v>303</v>
      </c>
      <c r="W519">
        <v>247</v>
      </c>
      <c r="X519" t="s">
        <v>4193</v>
      </c>
      <c r="Y519" t="s">
        <v>4201</v>
      </c>
      <c r="Z519" t="s">
        <v>4670</v>
      </c>
      <c r="AC519">
        <v>132</v>
      </c>
      <c r="AD519" t="s">
        <v>6778</v>
      </c>
      <c r="AE519" t="s">
        <v>6786</v>
      </c>
      <c r="AF519">
        <v>22</v>
      </c>
      <c r="AG519">
        <v>1</v>
      </c>
      <c r="AH519">
        <v>0</v>
      </c>
      <c r="AI519">
        <v>76.86</v>
      </c>
      <c r="AL519" t="s">
        <v>6801</v>
      </c>
      <c r="AM519">
        <v>9600</v>
      </c>
    </row>
    <row r="520" spans="1:44">
      <c r="A520" s="1">
        <f>HYPERLINK("https://lsnyc.legalserver.org/matter/dynamic-profile/view/1906776","19-1906776")</f>
        <v>0</v>
      </c>
      <c r="B520" t="s">
        <v>146</v>
      </c>
      <c r="C520" t="s">
        <v>235</v>
      </c>
      <c r="D520" t="s">
        <v>225</v>
      </c>
      <c r="E520" t="s">
        <v>758</v>
      </c>
      <c r="F520" t="s">
        <v>1616</v>
      </c>
      <c r="G520" t="s">
        <v>2565</v>
      </c>
      <c r="H520" t="s">
        <v>3300</v>
      </c>
      <c r="I520" t="s">
        <v>3490</v>
      </c>
      <c r="J520">
        <v>11206</v>
      </c>
      <c r="K520" t="s">
        <v>3522</v>
      </c>
      <c r="L520" t="s">
        <v>3525</v>
      </c>
      <c r="N520" t="s">
        <v>4120</v>
      </c>
      <c r="O520" t="s">
        <v>4137</v>
      </c>
      <c r="P520" t="s">
        <v>4145</v>
      </c>
      <c r="Q520" t="s">
        <v>4147</v>
      </c>
      <c r="R520" t="s">
        <v>3523</v>
      </c>
      <c r="T520" t="s">
        <v>4156</v>
      </c>
      <c r="V520" t="s">
        <v>235</v>
      </c>
      <c r="W520">
        <v>0</v>
      </c>
      <c r="X520" t="s">
        <v>4193</v>
      </c>
      <c r="Z520" t="s">
        <v>4671</v>
      </c>
      <c r="AB520" t="s">
        <v>6040</v>
      </c>
      <c r="AC520">
        <v>774</v>
      </c>
      <c r="AF520">
        <v>0</v>
      </c>
      <c r="AG520">
        <v>1</v>
      </c>
      <c r="AH520">
        <v>0</v>
      </c>
      <c r="AI520">
        <v>76.86</v>
      </c>
      <c r="AL520" t="s">
        <v>6812</v>
      </c>
      <c r="AM520">
        <v>9600</v>
      </c>
      <c r="AQ520" t="s">
        <v>6945</v>
      </c>
      <c r="AR520" t="s">
        <v>6983</v>
      </c>
    </row>
    <row r="521" spans="1:44">
      <c r="A521" s="1">
        <f>HYPERLINK("https://lsnyc.legalserver.org/matter/dynamic-profile/view/1905440","19-1905440")</f>
        <v>0</v>
      </c>
      <c r="B521" t="s">
        <v>83</v>
      </c>
      <c r="C521" t="s">
        <v>266</v>
      </c>
      <c r="D521" t="s">
        <v>276</v>
      </c>
      <c r="E521" t="s">
        <v>759</v>
      </c>
      <c r="F521" t="s">
        <v>418</v>
      </c>
      <c r="G521" t="s">
        <v>2566</v>
      </c>
      <c r="H521" t="s">
        <v>3170</v>
      </c>
      <c r="I521" t="s">
        <v>3493</v>
      </c>
      <c r="J521">
        <v>10456</v>
      </c>
      <c r="K521" t="s">
        <v>3522</v>
      </c>
      <c r="L521" t="s">
        <v>3525</v>
      </c>
      <c r="M521" t="s">
        <v>3771</v>
      </c>
      <c r="N521" t="s">
        <v>4108</v>
      </c>
      <c r="O521" t="s">
        <v>4132</v>
      </c>
      <c r="P521" t="s">
        <v>4139</v>
      </c>
      <c r="Q521" t="s">
        <v>4147</v>
      </c>
      <c r="R521" t="s">
        <v>3523</v>
      </c>
      <c r="T521" t="s">
        <v>4156</v>
      </c>
      <c r="V521" t="s">
        <v>241</v>
      </c>
      <c r="W521">
        <v>255</v>
      </c>
      <c r="X521" t="s">
        <v>4194</v>
      </c>
      <c r="Y521" t="s">
        <v>4206</v>
      </c>
      <c r="Z521" t="s">
        <v>4672</v>
      </c>
      <c r="AB521" t="s">
        <v>6041</v>
      </c>
      <c r="AC521">
        <v>65</v>
      </c>
      <c r="AD521" t="s">
        <v>6781</v>
      </c>
      <c r="AE521" t="s">
        <v>3526</v>
      </c>
      <c r="AF521">
        <v>6</v>
      </c>
      <c r="AG521">
        <v>1</v>
      </c>
      <c r="AH521">
        <v>0</v>
      </c>
      <c r="AI521">
        <v>76.86</v>
      </c>
      <c r="AM521">
        <v>9600</v>
      </c>
    </row>
    <row r="522" spans="1:44">
      <c r="A522" s="1">
        <f>HYPERLINK("https://lsnyc.legalserver.org/matter/dynamic-profile/view/1913397","19-1913397")</f>
        <v>0</v>
      </c>
      <c r="B522" t="s">
        <v>79</v>
      </c>
      <c r="C522" t="s">
        <v>192</v>
      </c>
      <c r="D522" t="s">
        <v>195</v>
      </c>
      <c r="E522" t="s">
        <v>402</v>
      </c>
      <c r="F522" t="s">
        <v>1617</v>
      </c>
      <c r="G522" t="s">
        <v>2567</v>
      </c>
      <c r="H522" t="s">
        <v>3301</v>
      </c>
      <c r="I522" t="s">
        <v>3493</v>
      </c>
      <c r="J522">
        <v>10452</v>
      </c>
      <c r="K522" t="s">
        <v>3522</v>
      </c>
      <c r="L522" t="s">
        <v>3525</v>
      </c>
      <c r="N522" t="s">
        <v>4113</v>
      </c>
      <c r="O522" t="s">
        <v>4132</v>
      </c>
      <c r="P522" t="s">
        <v>4139</v>
      </c>
      <c r="Q522" t="s">
        <v>4147</v>
      </c>
      <c r="R522" t="s">
        <v>3523</v>
      </c>
      <c r="T522" t="s">
        <v>4159</v>
      </c>
      <c r="U522" t="s">
        <v>4168</v>
      </c>
      <c r="V522" t="s">
        <v>199</v>
      </c>
      <c r="W522">
        <v>641.28</v>
      </c>
      <c r="X522" t="s">
        <v>4194</v>
      </c>
      <c r="Z522" t="s">
        <v>4673</v>
      </c>
      <c r="AB522" t="s">
        <v>6042</v>
      </c>
      <c r="AC522">
        <v>60</v>
      </c>
      <c r="AD522" t="s">
        <v>6772</v>
      </c>
      <c r="AE522" t="s">
        <v>6791</v>
      </c>
      <c r="AF522">
        <v>50</v>
      </c>
      <c r="AG522">
        <v>1</v>
      </c>
      <c r="AH522">
        <v>0</v>
      </c>
      <c r="AI522">
        <v>76.86</v>
      </c>
      <c r="AL522" t="s">
        <v>6802</v>
      </c>
      <c r="AM522">
        <v>9600</v>
      </c>
    </row>
    <row r="523" spans="1:44">
      <c r="A523" s="1">
        <f>HYPERLINK("https://lsnyc.legalserver.org/matter/dynamic-profile/view/1904896","19-1904896")</f>
        <v>0</v>
      </c>
      <c r="B523" t="s">
        <v>86</v>
      </c>
      <c r="C523" t="s">
        <v>272</v>
      </c>
      <c r="E523" t="s">
        <v>423</v>
      </c>
      <c r="F523" t="s">
        <v>1618</v>
      </c>
      <c r="G523" t="s">
        <v>2568</v>
      </c>
      <c r="H523" t="s">
        <v>3302</v>
      </c>
      <c r="I523" t="s">
        <v>3495</v>
      </c>
      <c r="J523">
        <v>10034</v>
      </c>
      <c r="K523" t="s">
        <v>3522</v>
      </c>
      <c r="L523" t="s">
        <v>3525</v>
      </c>
      <c r="O523" t="s">
        <v>4135</v>
      </c>
      <c r="Q523" t="s">
        <v>4147</v>
      </c>
      <c r="R523" t="s">
        <v>3523</v>
      </c>
      <c r="T523" t="s">
        <v>4156</v>
      </c>
      <c r="V523" t="s">
        <v>272</v>
      </c>
      <c r="W523">
        <v>1036.77</v>
      </c>
      <c r="X523" t="s">
        <v>4196</v>
      </c>
      <c r="Y523" t="s">
        <v>4205</v>
      </c>
      <c r="Z523" t="s">
        <v>4674</v>
      </c>
      <c r="AB523" t="s">
        <v>6043</v>
      </c>
      <c r="AC523">
        <v>65</v>
      </c>
      <c r="AD523" t="s">
        <v>6772</v>
      </c>
      <c r="AE523" t="s">
        <v>3526</v>
      </c>
      <c r="AF523">
        <v>4</v>
      </c>
      <c r="AG523">
        <v>1</v>
      </c>
      <c r="AH523">
        <v>0</v>
      </c>
      <c r="AI523">
        <v>76.86</v>
      </c>
      <c r="AL523" t="s">
        <v>6801</v>
      </c>
      <c r="AM523">
        <v>9600</v>
      </c>
    </row>
    <row r="524" spans="1:44">
      <c r="A524" s="1">
        <f>HYPERLINK("https://lsnyc.legalserver.org/matter/dynamic-profile/view/1912397","19-1912397")</f>
        <v>0</v>
      </c>
      <c r="B524" t="s">
        <v>94</v>
      </c>
      <c r="C524" t="s">
        <v>295</v>
      </c>
      <c r="E524" t="s">
        <v>760</v>
      </c>
      <c r="F524" t="s">
        <v>1480</v>
      </c>
      <c r="G524" t="s">
        <v>2569</v>
      </c>
      <c r="H524" t="s">
        <v>3158</v>
      </c>
      <c r="I524" t="s">
        <v>3495</v>
      </c>
      <c r="J524">
        <v>10029</v>
      </c>
      <c r="K524" t="s">
        <v>3522</v>
      </c>
      <c r="L524" t="s">
        <v>3525</v>
      </c>
      <c r="N524" t="s">
        <v>3554</v>
      </c>
      <c r="O524" t="s">
        <v>4132</v>
      </c>
      <c r="Q524" t="s">
        <v>4147</v>
      </c>
      <c r="R524" t="s">
        <v>3523</v>
      </c>
      <c r="T524" t="s">
        <v>4156</v>
      </c>
      <c r="U524" t="s">
        <v>4168</v>
      </c>
      <c r="V524" t="s">
        <v>333</v>
      </c>
      <c r="W524">
        <v>259.33</v>
      </c>
      <c r="X524" t="s">
        <v>4196</v>
      </c>
      <c r="Y524" t="s">
        <v>4198</v>
      </c>
      <c r="Z524" t="s">
        <v>4675</v>
      </c>
      <c r="AA524" t="s">
        <v>5580</v>
      </c>
      <c r="AB524" t="s">
        <v>6044</v>
      </c>
      <c r="AC524">
        <v>18</v>
      </c>
      <c r="AD524" t="s">
        <v>6772</v>
      </c>
      <c r="AE524" t="s">
        <v>3526</v>
      </c>
      <c r="AF524">
        <v>15</v>
      </c>
      <c r="AG524">
        <v>1</v>
      </c>
      <c r="AH524">
        <v>0</v>
      </c>
      <c r="AI524">
        <v>76.86</v>
      </c>
      <c r="AL524" t="s">
        <v>6802</v>
      </c>
      <c r="AM524">
        <v>9600</v>
      </c>
    </row>
    <row r="525" spans="1:44">
      <c r="A525" s="1">
        <f>HYPERLINK("https://lsnyc.legalserver.org/matter/dynamic-profile/view/1900068","19-1900068")</f>
        <v>0</v>
      </c>
      <c r="B525" t="s">
        <v>74</v>
      </c>
      <c r="C525" t="s">
        <v>262</v>
      </c>
      <c r="D525" t="s">
        <v>262</v>
      </c>
      <c r="E525" t="s">
        <v>761</v>
      </c>
      <c r="F525" t="s">
        <v>1619</v>
      </c>
      <c r="G525" t="s">
        <v>2570</v>
      </c>
      <c r="I525" t="s">
        <v>3493</v>
      </c>
      <c r="J525">
        <v>10467</v>
      </c>
      <c r="K525" t="s">
        <v>3523</v>
      </c>
      <c r="L525" t="s">
        <v>3526</v>
      </c>
      <c r="O525" t="s">
        <v>4132</v>
      </c>
      <c r="P525" t="s">
        <v>4139</v>
      </c>
      <c r="Q525" t="s">
        <v>4147</v>
      </c>
      <c r="R525" t="s">
        <v>3523</v>
      </c>
      <c r="T525" t="s">
        <v>4156</v>
      </c>
      <c r="V525" t="s">
        <v>262</v>
      </c>
      <c r="W525">
        <v>1074.58</v>
      </c>
      <c r="X525" t="s">
        <v>4194</v>
      </c>
      <c r="Z525" t="s">
        <v>4676</v>
      </c>
      <c r="AB525" t="s">
        <v>6045</v>
      </c>
      <c r="AC525">
        <v>0</v>
      </c>
      <c r="AD525" t="s">
        <v>6772</v>
      </c>
      <c r="AF525">
        <v>13</v>
      </c>
      <c r="AG525">
        <v>1</v>
      </c>
      <c r="AH525">
        <v>1</v>
      </c>
      <c r="AI525">
        <v>76.88</v>
      </c>
      <c r="AL525" t="s">
        <v>6802</v>
      </c>
      <c r="AM525">
        <v>13000</v>
      </c>
    </row>
    <row r="526" spans="1:44">
      <c r="A526" s="1">
        <f>HYPERLINK("https://lsnyc.legalserver.org/matter/dynamic-profile/view/1905894","19-1905894")</f>
        <v>0</v>
      </c>
      <c r="B526" t="s">
        <v>78</v>
      </c>
      <c r="C526" t="s">
        <v>228</v>
      </c>
      <c r="D526" t="s">
        <v>325</v>
      </c>
      <c r="E526" t="s">
        <v>762</v>
      </c>
      <c r="F526" t="s">
        <v>1372</v>
      </c>
      <c r="G526" t="s">
        <v>2571</v>
      </c>
      <c r="H526" t="s">
        <v>3141</v>
      </c>
      <c r="I526" t="s">
        <v>3493</v>
      </c>
      <c r="J526">
        <v>10456</v>
      </c>
      <c r="K526" t="s">
        <v>3522</v>
      </c>
      <c r="L526" t="s">
        <v>3525</v>
      </c>
      <c r="M526" t="s">
        <v>3772</v>
      </c>
      <c r="N526" t="s">
        <v>4109</v>
      </c>
      <c r="O526" t="s">
        <v>4132</v>
      </c>
      <c r="P526" t="s">
        <v>4139</v>
      </c>
      <c r="Q526" t="s">
        <v>4147</v>
      </c>
      <c r="R526" t="s">
        <v>3523</v>
      </c>
      <c r="T526" t="s">
        <v>4156</v>
      </c>
      <c r="U526" t="s">
        <v>4168</v>
      </c>
      <c r="V526" t="s">
        <v>4176</v>
      </c>
      <c r="W526">
        <v>1511.88</v>
      </c>
      <c r="X526" t="s">
        <v>4194</v>
      </c>
      <c r="Y526" t="s">
        <v>4206</v>
      </c>
      <c r="Z526" t="s">
        <v>4677</v>
      </c>
      <c r="AB526" t="s">
        <v>6046</v>
      </c>
      <c r="AC526">
        <v>30</v>
      </c>
      <c r="AD526" t="s">
        <v>6772</v>
      </c>
      <c r="AE526" t="s">
        <v>3526</v>
      </c>
      <c r="AF526">
        <v>5</v>
      </c>
      <c r="AG526">
        <v>1</v>
      </c>
      <c r="AH526">
        <v>1</v>
      </c>
      <c r="AI526">
        <v>76.88</v>
      </c>
      <c r="AL526" t="s">
        <v>6801</v>
      </c>
      <c r="AM526">
        <v>13000</v>
      </c>
    </row>
    <row r="527" spans="1:44">
      <c r="A527" s="1">
        <f>HYPERLINK("https://lsnyc.legalserver.org/matter/dynamic-profile/view/1914885","19-1914885")</f>
        <v>0</v>
      </c>
      <c r="B527" t="s">
        <v>104</v>
      </c>
      <c r="C527" t="s">
        <v>253</v>
      </c>
      <c r="D527" t="s">
        <v>204</v>
      </c>
      <c r="E527" t="s">
        <v>521</v>
      </c>
      <c r="F527" t="s">
        <v>1620</v>
      </c>
      <c r="G527" t="s">
        <v>2572</v>
      </c>
      <c r="H527" t="s">
        <v>3157</v>
      </c>
      <c r="I527" t="s">
        <v>3493</v>
      </c>
      <c r="J527">
        <v>10452</v>
      </c>
      <c r="K527" t="s">
        <v>3522</v>
      </c>
      <c r="L527" t="s">
        <v>3525</v>
      </c>
      <c r="N527" t="s">
        <v>4108</v>
      </c>
      <c r="O527" t="s">
        <v>4132</v>
      </c>
      <c r="P527" t="s">
        <v>4139</v>
      </c>
      <c r="Q527" t="s">
        <v>4147</v>
      </c>
      <c r="T527" t="s">
        <v>4156</v>
      </c>
      <c r="V527" t="s">
        <v>301</v>
      </c>
      <c r="W527">
        <v>896</v>
      </c>
      <c r="X527" t="s">
        <v>4194</v>
      </c>
      <c r="Y527" t="s">
        <v>4206</v>
      </c>
      <c r="Z527" t="s">
        <v>4678</v>
      </c>
      <c r="AC527">
        <v>89</v>
      </c>
      <c r="AD527" t="s">
        <v>5524</v>
      </c>
      <c r="AE527" t="s">
        <v>6786</v>
      </c>
      <c r="AF527">
        <v>24</v>
      </c>
      <c r="AG527">
        <v>2</v>
      </c>
      <c r="AH527">
        <v>0</v>
      </c>
      <c r="AI527">
        <v>76.88</v>
      </c>
      <c r="AL527" t="s">
        <v>6802</v>
      </c>
      <c r="AM527">
        <v>13000</v>
      </c>
    </row>
    <row r="528" spans="1:44">
      <c r="A528" s="1">
        <f>HYPERLINK("https://lsnyc.legalserver.org/matter/dynamic-profile/view/1899008","19-1899008")</f>
        <v>0</v>
      </c>
      <c r="B528" t="s">
        <v>79</v>
      </c>
      <c r="C528" t="s">
        <v>322</v>
      </c>
      <c r="D528" t="s">
        <v>275</v>
      </c>
      <c r="E528" t="s">
        <v>763</v>
      </c>
      <c r="F528" t="s">
        <v>1621</v>
      </c>
      <c r="G528" t="s">
        <v>2573</v>
      </c>
      <c r="H528" t="s">
        <v>3303</v>
      </c>
      <c r="I528" t="s">
        <v>3493</v>
      </c>
      <c r="J528">
        <v>10452</v>
      </c>
      <c r="K528" t="s">
        <v>3522</v>
      </c>
      <c r="L528" t="s">
        <v>3525</v>
      </c>
      <c r="N528" t="s">
        <v>4109</v>
      </c>
      <c r="O528" t="s">
        <v>4135</v>
      </c>
      <c r="P528" t="s">
        <v>4139</v>
      </c>
      <c r="Q528" t="s">
        <v>4147</v>
      </c>
      <c r="R528" t="s">
        <v>3523</v>
      </c>
      <c r="T528" t="s">
        <v>4156</v>
      </c>
      <c r="U528" t="s">
        <v>4169</v>
      </c>
      <c r="V528" t="s">
        <v>4175</v>
      </c>
      <c r="W528">
        <v>1303</v>
      </c>
      <c r="X528" t="s">
        <v>4194</v>
      </c>
      <c r="Y528" t="s">
        <v>4203</v>
      </c>
      <c r="Z528" t="s">
        <v>4679</v>
      </c>
      <c r="AB528" t="s">
        <v>6047</v>
      </c>
      <c r="AC528">
        <v>105</v>
      </c>
      <c r="AD528" t="s">
        <v>6772</v>
      </c>
      <c r="AE528" t="s">
        <v>6788</v>
      </c>
      <c r="AF528">
        <v>1</v>
      </c>
      <c r="AG528">
        <v>1</v>
      </c>
      <c r="AH528">
        <v>1</v>
      </c>
      <c r="AI528">
        <v>76.88</v>
      </c>
      <c r="AL528" t="s">
        <v>6802</v>
      </c>
      <c r="AM528">
        <v>12999.99</v>
      </c>
    </row>
    <row r="529" spans="1:42">
      <c r="A529" s="1">
        <f>HYPERLINK("https://lsnyc.legalserver.org/matter/dynamic-profile/view/1910089","19-1910089")</f>
        <v>0</v>
      </c>
      <c r="B529" t="s">
        <v>81</v>
      </c>
      <c r="C529" t="s">
        <v>230</v>
      </c>
      <c r="E529" t="s">
        <v>521</v>
      </c>
      <c r="F529" t="s">
        <v>1328</v>
      </c>
      <c r="G529" t="s">
        <v>2574</v>
      </c>
      <c r="H529" t="s">
        <v>3304</v>
      </c>
      <c r="I529" t="s">
        <v>3493</v>
      </c>
      <c r="J529">
        <v>10451</v>
      </c>
      <c r="K529" t="s">
        <v>3522</v>
      </c>
      <c r="L529" t="s">
        <v>3525</v>
      </c>
      <c r="O529" t="s">
        <v>4132</v>
      </c>
      <c r="Q529" t="s">
        <v>4147</v>
      </c>
      <c r="T529" t="s">
        <v>4156</v>
      </c>
      <c r="V529" t="s">
        <v>318</v>
      </c>
      <c r="W529">
        <v>191</v>
      </c>
      <c r="X529" t="s">
        <v>4194</v>
      </c>
      <c r="Y529" t="s">
        <v>4206</v>
      </c>
      <c r="Z529" t="s">
        <v>4680</v>
      </c>
      <c r="AB529" t="s">
        <v>6048</v>
      </c>
      <c r="AC529">
        <v>0</v>
      </c>
      <c r="AD529" t="s">
        <v>5524</v>
      </c>
      <c r="AE529" t="s">
        <v>6786</v>
      </c>
      <c r="AF529">
        <v>10</v>
      </c>
      <c r="AG529">
        <v>1</v>
      </c>
      <c r="AH529">
        <v>0</v>
      </c>
      <c r="AI529">
        <v>77.34</v>
      </c>
      <c r="AL529" t="s">
        <v>6801</v>
      </c>
      <c r="AM529">
        <v>9660</v>
      </c>
    </row>
    <row r="530" spans="1:42">
      <c r="A530" s="1">
        <f>HYPERLINK("https://lsnyc.legalserver.org/matter/dynamic-profile/view/1904693","19-1904693")</f>
        <v>0</v>
      </c>
      <c r="B530" t="s">
        <v>92</v>
      </c>
      <c r="C530" t="s">
        <v>246</v>
      </c>
      <c r="E530" t="s">
        <v>748</v>
      </c>
      <c r="F530" t="s">
        <v>1622</v>
      </c>
      <c r="G530" t="s">
        <v>2255</v>
      </c>
      <c r="H530">
        <v>31</v>
      </c>
      <c r="I530" t="s">
        <v>3495</v>
      </c>
      <c r="J530">
        <v>10034</v>
      </c>
      <c r="K530" t="s">
        <v>3522</v>
      </c>
      <c r="L530" t="s">
        <v>3525</v>
      </c>
      <c r="O530" t="s">
        <v>4136</v>
      </c>
      <c r="Q530" t="s">
        <v>4147</v>
      </c>
      <c r="R530" t="s">
        <v>3522</v>
      </c>
      <c r="T530" t="s">
        <v>4156</v>
      </c>
      <c r="V530" t="s">
        <v>246</v>
      </c>
      <c r="W530">
        <v>997</v>
      </c>
      <c r="X530" t="s">
        <v>4196</v>
      </c>
      <c r="Y530" t="s">
        <v>4205</v>
      </c>
      <c r="Z530" t="s">
        <v>4681</v>
      </c>
      <c r="AC530">
        <v>25</v>
      </c>
      <c r="AD530" t="s">
        <v>6772</v>
      </c>
      <c r="AE530" t="s">
        <v>3526</v>
      </c>
      <c r="AF530">
        <v>5</v>
      </c>
      <c r="AG530">
        <v>3</v>
      </c>
      <c r="AH530">
        <v>2</v>
      </c>
      <c r="AI530">
        <v>77.56</v>
      </c>
      <c r="AL530" t="s">
        <v>6802</v>
      </c>
      <c r="AM530">
        <v>23400</v>
      </c>
    </row>
    <row r="531" spans="1:42">
      <c r="A531" s="1">
        <f>HYPERLINK("https://lsnyc.legalserver.org/matter/dynamic-profile/view/1905437","19-1905437")</f>
        <v>0</v>
      </c>
      <c r="B531" t="s">
        <v>115</v>
      </c>
      <c r="C531" t="s">
        <v>266</v>
      </c>
      <c r="E531" t="s">
        <v>503</v>
      </c>
      <c r="F531" t="s">
        <v>1623</v>
      </c>
      <c r="G531" t="s">
        <v>2575</v>
      </c>
      <c r="H531">
        <v>16</v>
      </c>
      <c r="I531" t="s">
        <v>3495</v>
      </c>
      <c r="J531">
        <v>10032</v>
      </c>
      <c r="K531" t="s">
        <v>3522</v>
      </c>
      <c r="L531" t="s">
        <v>3525</v>
      </c>
      <c r="M531" t="s">
        <v>3773</v>
      </c>
      <c r="N531" t="s">
        <v>4110</v>
      </c>
      <c r="O531" t="s">
        <v>4137</v>
      </c>
      <c r="Q531" t="s">
        <v>4147</v>
      </c>
      <c r="R531" t="s">
        <v>3523</v>
      </c>
      <c r="T531" t="s">
        <v>4156</v>
      </c>
      <c r="V531" t="s">
        <v>266</v>
      </c>
      <c r="W531">
        <v>1142.3</v>
      </c>
      <c r="X531" t="s">
        <v>4196</v>
      </c>
      <c r="Y531" t="s">
        <v>4201</v>
      </c>
      <c r="Z531" t="s">
        <v>4682</v>
      </c>
      <c r="AB531" t="s">
        <v>6049</v>
      </c>
      <c r="AC531">
        <v>20</v>
      </c>
      <c r="AD531" t="s">
        <v>6772</v>
      </c>
      <c r="AE531" t="s">
        <v>3526</v>
      </c>
      <c r="AF531">
        <v>25</v>
      </c>
      <c r="AG531">
        <v>3</v>
      </c>
      <c r="AH531">
        <v>2</v>
      </c>
      <c r="AI531">
        <v>77.56</v>
      </c>
      <c r="AL531" t="s">
        <v>6802</v>
      </c>
      <c r="AM531">
        <v>23400</v>
      </c>
    </row>
    <row r="532" spans="1:42">
      <c r="A532" s="1">
        <f>HYPERLINK("https://lsnyc.legalserver.org/matter/dynamic-profile/view/1916793","19-1916793")</f>
        <v>0</v>
      </c>
      <c r="B532" t="s">
        <v>57</v>
      </c>
      <c r="C532" t="s">
        <v>195</v>
      </c>
      <c r="E532" t="s">
        <v>764</v>
      </c>
      <c r="F532" t="s">
        <v>1624</v>
      </c>
      <c r="G532" t="s">
        <v>2576</v>
      </c>
      <c r="H532">
        <v>3</v>
      </c>
      <c r="I532" t="s">
        <v>3490</v>
      </c>
      <c r="J532">
        <v>11233</v>
      </c>
      <c r="K532" t="s">
        <v>3522</v>
      </c>
      <c r="L532" t="s">
        <v>3525</v>
      </c>
      <c r="M532" t="s">
        <v>3526</v>
      </c>
      <c r="N532" t="s">
        <v>4114</v>
      </c>
      <c r="Q532" t="s">
        <v>4147</v>
      </c>
      <c r="R532" t="s">
        <v>3523</v>
      </c>
      <c r="T532" t="s">
        <v>4158</v>
      </c>
      <c r="U532" t="s">
        <v>4168</v>
      </c>
      <c r="V532" t="s">
        <v>195</v>
      </c>
      <c r="W532">
        <v>800</v>
      </c>
      <c r="X532" t="s">
        <v>4193</v>
      </c>
      <c r="Y532" t="s">
        <v>4205</v>
      </c>
      <c r="Z532" t="s">
        <v>4683</v>
      </c>
      <c r="AB532" t="s">
        <v>6050</v>
      </c>
      <c r="AC532">
        <v>3</v>
      </c>
      <c r="AD532" t="s">
        <v>6771</v>
      </c>
      <c r="AE532" t="s">
        <v>6787</v>
      </c>
      <c r="AF532">
        <v>4</v>
      </c>
      <c r="AG532">
        <v>1</v>
      </c>
      <c r="AH532">
        <v>0</v>
      </c>
      <c r="AI532">
        <v>77.92</v>
      </c>
      <c r="AL532" t="s">
        <v>6801</v>
      </c>
      <c r="AM532">
        <v>9732</v>
      </c>
    </row>
    <row r="533" spans="1:42">
      <c r="A533" s="1">
        <f>HYPERLINK("https://lsnyc.legalserver.org/matter/dynamic-profile/view/1911832","19-1911832")</f>
        <v>0</v>
      </c>
      <c r="B533" t="s">
        <v>51</v>
      </c>
      <c r="C533" t="s">
        <v>190</v>
      </c>
      <c r="E533" t="s">
        <v>637</v>
      </c>
      <c r="F533" t="s">
        <v>1625</v>
      </c>
      <c r="G533" t="s">
        <v>2577</v>
      </c>
      <c r="H533" t="s">
        <v>3305</v>
      </c>
      <c r="I533" t="s">
        <v>3490</v>
      </c>
      <c r="J533">
        <v>11238</v>
      </c>
      <c r="K533" t="s">
        <v>3522</v>
      </c>
      <c r="L533" t="s">
        <v>3525</v>
      </c>
      <c r="N533" t="s">
        <v>4109</v>
      </c>
      <c r="O533" t="s">
        <v>4134</v>
      </c>
      <c r="Q533" t="s">
        <v>4147</v>
      </c>
      <c r="R533" t="s">
        <v>3523</v>
      </c>
      <c r="T533" t="s">
        <v>4156</v>
      </c>
      <c r="V533" t="s">
        <v>190</v>
      </c>
      <c r="W533">
        <v>838.96</v>
      </c>
      <c r="X533" t="s">
        <v>4193</v>
      </c>
      <c r="Z533" t="s">
        <v>4684</v>
      </c>
      <c r="AB533" t="s">
        <v>6051</v>
      </c>
      <c r="AC533">
        <v>35</v>
      </c>
      <c r="AF533">
        <v>34</v>
      </c>
      <c r="AG533">
        <v>1</v>
      </c>
      <c r="AH533">
        <v>0</v>
      </c>
      <c r="AI533">
        <v>78.40000000000001</v>
      </c>
      <c r="AL533" t="s">
        <v>6801</v>
      </c>
      <c r="AM533">
        <v>9792</v>
      </c>
    </row>
    <row r="534" spans="1:42">
      <c r="A534" s="1">
        <f>HYPERLINK("https://lsnyc.legalserver.org/matter/dynamic-profile/view/1905779","19-1905779")</f>
        <v>0</v>
      </c>
      <c r="B534" t="s">
        <v>98</v>
      </c>
      <c r="C534" t="s">
        <v>206</v>
      </c>
      <c r="E534" t="s">
        <v>670</v>
      </c>
      <c r="F534" t="s">
        <v>1626</v>
      </c>
      <c r="G534" t="s">
        <v>2578</v>
      </c>
      <c r="H534" t="s">
        <v>3306</v>
      </c>
      <c r="I534" t="s">
        <v>3479</v>
      </c>
      <c r="J534">
        <v>11691</v>
      </c>
      <c r="K534" t="s">
        <v>3522</v>
      </c>
      <c r="L534" t="s">
        <v>3525</v>
      </c>
      <c r="M534" t="s">
        <v>3774</v>
      </c>
      <c r="N534" t="s">
        <v>4107</v>
      </c>
      <c r="O534" t="s">
        <v>4134</v>
      </c>
      <c r="Q534" t="s">
        <v>4147</v>
      </c>
      <c r="R534" t="s">
        <v>3523</v>
      </c>
      <c r="T534" t="s">
        <v>4156</v>
      </c>
      <c r="U534" t="s">
        <v>4171</v>
      </c>
      <c r="V534" t="s">
        <v>188</v>
      </c>
      <c r="W534">
        <v>1400</v>
      </c>
      <c r="X534" t="s">
        <v>4192</v>
      </c>
      <c r="Y534" t="s">
        <v>4202</v>
      </c>
      <c r="Z534" t="s">
        <v>4685</v>
      </c>
      <c r="AB534" t="s">
        <v>6052</v>
      </c>
      <c r="AC534">
        <v>462</v>
      </c>
      <c r="AD534" t="s">
        <v>6775</v>
      </c>
      <c r="AE534" t="s">
        <v>6786</v>
      </c>
      <c r="AF534">
        <v>35</v>
      </c>
      <c r="AG534">
        <v>1</v>
      </c>
      <c r="AH534">
        <v>0</v>
      </c>
      <c r="AI534">
        <v>78.78</v>
      </c>
      <c r="AL534" t="s">
        <v>6801</v>
      </c>
      <c r="AM534">
        <v>9840</v>
      </c>
      <c r="AP534" t="s">
        <v>6924</v>
      </c>
    </row>
    <row r="535" spans="1:42">
      <c r="A535" s="1">
        <f>HYPERLINK("https://lsnyc.legalserver.org/matter/dynamic-profile/view/1912709","19-1912709")</f>
        <v>0</v>
      </c>
      <c r="B535" t="s">
        <v>77</v>
      </c>
      <c r="C535" t="s">
        <v>256</v>
      </c>
      <c r="D535" t="s">
        <v>267</v>
      </c>
      <c r="E535" t="s">
        <v>765</v>
      </c>
      <c r="F535" t="s">
        <v>1627</v>
      </c>
      <c r="G535" t="s">
        <v>2579</v>
      </c>
      <c r="H535" t="s">
        <v>3178</v>
      </c>
      <c r="I535" t="s">
        <v>3493</v>
      </c>
      <c r="J535">
        <v>10452</v>
      </c>
      <c r="K535" t="s">
        <v>3522</v>
      </c>
      <c r="L535" t="s">
        <v>3525</v>
      </c>
      <c r="N535" t="s">
        <v>3554</v>
      </c>
      <c r="O535" t="s">
        <v>4132</v>
      </c>
      <c r="P535" t="s">
        <v>4139</v>
      </c>
      <c r="Q535" t="s">
        <v>4147</v>
      </c>
      <c r="R535" t="s">
        <v>3523</v>
      </c>
      <c r="T535" t="s">
        <v>4156</v>
      </c>
      <c r="V535" t="s">
        <v>269</v>
      </c>
      <c r="W535">
        <v>1400</v>
      </c>
      <c r="X535" t="s">
        <v>4194</v>
      </c>
      <c r="Y535" t="s">
        <v>4206</v>
      </c>
      <c r="Z535" t="s">
        <v>4686</v>
      </c>
      <c r="AB535" t="s">
        <v>6053</v>
      </c>
      <c r="AC535">
        <v>48</v>
      </c>
      <c r="AD535" t="s">
        <v>6772</v>
      </c>
      <c r="AE535" t="s">
        <v>6786</v>
      </c>
      <c r="AF535">
        <v>12</v>
      </c>
      <c r="AG535">
        <v>1</v>
      </c>
      <c r="AH535">
        <v>0</v>
      </c>
      <c r="AI535">
        <v>78.78</v>
      </c>
      <c r="AL535" t="s">
        <v>6801</v>
      </c>
      <c r="AM535">
        <v>9840</v>
      </c>
    </row>
    <row r="536" spans="1:42">
      <c r="A536" s="1">
        <f>HYPERLINK("https://lsnyc.legalserver.org/matter/dynamic-profile/view/1899726","19-1899726")</f>
        <v>0</v>
      </c>
      <c r="B536" t="s">
        <v>104</v>
      </c>
      <c r="C536" t="s">
        <v>278</v>
      </c>
      <c r="D536" t="s">
        <v>324</v>
      </c>
      <c r="E536" t="s">
        <v>442</v>
      </c>
      <c r="F536" t="s">
        <v>1628</v>
      </c>
      <c r="G536" t="s">
        <v>2580</v>
      </c>
      <c r="H536">
        <v>220</v>
      </c>
      <c r="I536" t="s">
        <v>3493</v>
      </c>
      <c r="J536">
        <v>10459</v>
      </c>
      <c r="K536" t="s">
        <v>3522</v>
      </c>
      <c r="L536" t="s">
        <v>3525</v>
      </c>
      <c r="O536" t="s">
        <v>4135</v>
      </c>
      <c r="P536" t="s">
        <v>4142</v>
      </c>
      <c r="Q536" t="s">
        <v>4147</v>
      </c>
      <c r="R536" t="s">
        <v>3523</v>
      </c>
      <c r="T536" t="s">
        <v>4156</v>
      </c>
      <c r="V536" t="s">
        <v>324</v>
      </c>
      <c r="W536">
        <v>1041</v>
      </c>
      <c r="X536" t="s">
        <v>4194</v>
      </c>
      <c r="Y536" t="s">
        <v>4206</v>
      </c>
      <c r="Z536" t="s">
        <v>4687</v>
      </c>
      <c r="AB536" t="s">
        <v>6054</v>
      </c>
      <c r="AC536">
        <v>141</v>
      </c>
      <c r="AD536" t="s">
        <v>5524</v>
      </c>
      <c r="AE536" t="s">
        <v>6788</v>
      </c>
      <c r="AF536">
        <v>3</v>
      </c>
      <c r="AG536">
        <v>1</v>
      </c>
      <c r="AH536">
        <v>2</v>
      </c>
      <c r="AI536">
        <v>78.95</v>
      </c>
      <c r="AL536" t="s">
        <v>6802</v>
      </c>
      <c r="AM536">
        <v>16840</v>
      </c>
      <c r="AN536" t="s">
        <v>6850</v>
      </c>
    </row>
    <row r="537" spans="1:42">
      <c r="A537" s="1">
        <f>HYPERLINK("https://lsnyc.legalserver.org/matter/dynamic-profile/view/1906917","19-1906917")</f>
        <v>0</v>
      </c>
      <c r="B537" t="s">
        <v>73</v>
      </c>
      <c r="C537" t="s">
        <v>217</v>
      </c>
      <c r="D537" t="s">
        <v>298</v>
      </c>
      <c r="E537" t="s">
        <v>402</v>
      </c>
      <c r="F537" t="s">
        <v>1617</v>
      </c>
      <c r="G537" t="s">
        <v>2567</v>
      </c>
      <c r="H537" t="s">
        <v>3301</v>
      </c>
      <c r="I537" t="s">
        <v>3493</v>
      </c>
      <c r="J537">
        <v>10452</v>
      </c>
      <c r="K537" t="s">
        <v>3522</v>
      </c>
      <c r="L537" t="s">
        <v>3525</v>
      </c>
      <c r="N537" t="s">
        <v>3554</v>
      </c>
      <c r="O537" t="s">
        <v>4135</v>
      </c>
      <c r="P537" t="s">
        <v>4142</v>
      </c>
      <c r="Q537" t="s">
        <v>4147</v>
      </c>
      <c r="R537" t="s">
        <v>3523</v>
      </c>
      <c r="T537" t="s">
        <v>4156</v>
      </c>
      <c r="V537" t="s">
        <v>222</v>
      </c>
      <c r="W537">
        <v>422.23</v>
      </c>
      <c r="X537" t="s">
        <v>4194</v>
      </c>
      <c r="Y537" t="s">
        <v>4206</v>
      </c>
      <c r="Z537" t="s">
        <v>4673</v>
      </c>
      <c r="AB537" t="s">
        <v>6042</v>
      </c>
      <c r="AC537">
        <v>60</v>
      </c>
      <c r="AD537" t="s">
        <v>6780</v>
      </c>
      <c r="AE537" t="s">
        <v>6791</v>
      </c>
      <c r="AF537">
        <v>0</v>
      </c>
      <c r="AG537">
        <v>1</v>
      </c>
      <c r="AH537">
        <v>0</v>
      </c>
      <c r="AI537">
        <v>79.06999999999999</v>
      </c>
      <c r="AL537" t="s">
        <v>6802</v>
      </c>
      <c r="AM537">
        <v>9876</v>
      </c>
    </row>
    <row r="538" spans="1:42">
      <c r="A538" s="1">
        <f>HYPERLINK("https://lsnyc.legalserver.org/matter/dynamic-profile/view/1915949","19-1915949")</f>
        <v>0</v>
      </c>
      <c r="B538" t="s">
        <v>56</v>
      </c>
      <c r="C538" t="s">
        <v>220</v>
      </c>
      <c r="D538" t="s">
        <v>299</v>
      </c>
      <c r="E538" t="s">
        <v>766</v>
      </c>
      <c r="F538" t="s">
        <v>736</v>
      </c>
      <c r="G538" t="s">
        <v>2581</v>
      </c>
      <c r="H538">
        <v>15</v>
      </c>
      <c r="I538" t="s">
        <v>3510</v>
      </c>
      <c r="J538">
        <v>11208</v>
      </c>
      <c r="K538" t="s">
        <v>3522</v>
      </c>
      <c r="L538" t="s">
        <v>3525</v>
      </c>
      <c r="O538" t="s">
        <v>4133</v>
      </c>
      <c r="P538" t="s">
        <v>4146</v>
      </c>
      <c r="Q538" t="s">
        <v>4147</v>
      </c>
      <c r="T538" t="s">
        <v>4156</v>
      </c>
      <c r="V538" t="s">
        <v>241</v>
      </c>
      <c r="W538">
        <v>500</v>
      </c>
      <c r="X538" t="s">
        <v>4193</v>
      </c>
      <c r="Y538" t="s">
        <v>4201</v>
      </c>
      <c r="Z538" t="s">
        <v>4688</v>
      </c>
      <c r="AB538" t="s">
        <v>6055</v>
      </c>
      <c r="AC538">
        <v>21</v>
      </c>
      <c r="AD538" t="s">
        <v>6772</v>
      </c>
      <c r="AF538">
        <v>35</v>
      </c>
      <c r="AG538">
        <v>1</v>
      </c>
      <c r="AH538">
        <v>0</v>
      </c>
      <c r="AI538">
        <v>79.26000000000001</v>
      </c>
      <c r="AL538" t="s">
        <v>6801</v>
      </c>
      <c r="AM538">
        <v>9900</v>
      </c>
    </row>
    <row r="539" spans="1:42">
      <c r="A539" s="1">
        <f>HYPERLINK("https://lsnyc.legalserver.org/matter/dynamic-profile/view/1916905","19-1916905")</f>
        <v>0</v>
      </c>
      <c r="B539" t="s">
        <v>148</v>
      </c>
      <c r="C539" t="s">
        <v>189</v>
      </c>
      <c r="E539" t="s">
        <v>767</v>
      </c>
      <c r="F539" t="s">
        <v>1629</v>
      </c>
      <c r="G539" t="s">
        <v>2582</v>
      </c>
      <c r="H539" t="s">
        <v>3307</v>
      </c>
      <c r="I539" t="s">
        <v>3495</v>
      </c>
      <c r="J539">
        <v>10035</v>
      </c>
      <c r="K539" t="s">
        <v>3522</v>
      </c>
      <c r="L539" t="s">
        <v>3525</v>
      </c>
      <c r="N539" t="s">
        <v>4121</v>
      </c>
      <c r="O539" t="s">
        <v>4133</v>
      </c>
      <c r="Q539" t="s">
        <v>4147</v>
      </c>
      <c r="R539" t="s">
        <v>3523</v>
      </c>
      <c r="T539" t="s">
        <v>4162</v>
      </c>
      <c r="U539" t="s">
        <v>4168</v>
      </c>
      <c r="V539" t="s">
        <v>189</v>
      </c>
      <c r="W539">
        <v>811</v>
      </c>
      <c r="X539" t="s">
        <v>4196</v>
      </c>
      <c r="Y539" t="s">
        <v>4201</v>
      </c>
      <c r="Z539" t="s">
        <v>4689</v>
      </c>
      <c r="AB539" t="s">
        <v>6056</v>
      </c>
      <c r="AC539">
        <v>90</v>
      </c>
      <c r="AD539" t="s">
        <v>6778</v>
      </c>
      <c r="AE539" t="s">
        <v>6786</v>
      </c>
      <c r="AF539">
        <v>5</v>
      </c>
      <c r="AG539">
        <v>2</v>
      </c>
      <c r="AH539">
        <v>3</v>
      </c>
      <c r="AI539">
        <v>79.55</v>
      </c>
      <c r="AL539" t="s">
        <v>6801</v>
      </c>
      <c r="AM539">
        <v>24000</v>
      </c>
    </row>
    <row r="540" spans="1:42">
      <c r="A540" s="1">
        <f>HYPERLINK("https://lsnyc.legalserver.org/matter/dynamic-profile/view/1904367","19-1904367")</f>
        <v>0</v>
      </c>
      <c r="B540" t="s">
        <v>93</v>
      </c>
      <c r="C540" t="s">
        <v>293</v>
      </c>
      <c r="E540" t="s">
        <v>768</v>
      </c>
      <c r="F540" t="s">
        <v>1630</v>
      </c>
      <c r="G540" t="s">
        <v>2583</v>
      </c>
      <c r="H540">
        <v>6</v>
      </c>
      <c r="I540" t="s">
        <v>3495</v>
      </c>
      <c r="J540">
        <v>10033</v>
      </c>
      <c r="K540" t="s">
        <v>3522</v>
      </c>
      <c r="L540" t="s">
        <v>3525</v>
      </c>
      <c r="N540" t="s">
        <v>4115</v>
      </c>
      <c r="O540" t="s">
        <v>4134</v>
      </c>
      <c r="Q540" t="s">
        <v>4147</v>
      </c>
      <c r="R540" t="s">
        <v>3523</v>
      </c>
      <c r="T540" t="s">
        <v>4156</v>
      </c>
      <c r="V540" t="s">
        <v>293</v>
      </c>
      <c r="W540">
        <v>163</v>
      </c>
      <c r="X540" t="s">
        <v>4196</v>
      </c>
      <c r="Y540" t="s">
        <v>4201</v>
      </c>
      <c r="Z540" t="s">
        <v>4690</v>
      </c>
      <c r="AB540" t="s">
        <v>6057</v>
      </c>
      <c r="AC540">
        <v>36</v>
      </c>
      <c r="AD540" t="s">
        <v>6772</v>
      </c>
      <c r="AE540" t="s">
        <v>6786</v>
      </c>
      <c r="AF540">
        <v>22</v>
      </c>
      <c r="AG540">
        <v>1</v>
      </c>
      <c r="AH540">
        <v>0</v>
      </c>
      <c r="AI540">
        <v>79.55</v>
      </c>
      <c r="AL540" t="s">
        <v>6802</v>
      </c>
      <c r="AM540">
        <v>9936</v>
      </c>
    </row>
    <row r="541" spans="1:42">
      <c r="A541" s="1">
        <f>HYPERLINK("https://lsnyc.legalserver.org/matter/dynamic-profile/view/1915735","19-1915735")</f>
        <v>0</v>
      </c>
      <c r="B541" t="s">
        <v>149</v>
      </c>
      <c r="C541" t="s">
        <v>248</v>
      </c>
      <c r="E541" t="s">
        <v>517</v>
      </c>
      <c r="F541" t="s">
        <v>1283</v>
      </c>
      <c r="G541" t="s">
        <v>2439</v>
      </c>
      <c r="H541">
        <v>601</v>
      </c>
      <c r="I541" t="s">
        <v>3494</v>
      </c>
      <c r="J541">
        <v>10304</v>
      </c>
      <c r="K541" t="s">
        <v>3522</v>
      </c>
      <c r="L541" t="s">
        <v>3525</v>
      </c>
      <c r="M541" t="s">
        <v>3775</v>
      </c>
      <c r="N541" t="s">
        <v>4109</v>
      </c>
      <c r="Q541" t="s">
        <v>4147</v>
      </c>
      <c r="R541" t="s">
        <v>3523</v>
      </c>
      <c r="T541" t="s">
        <v>4156</v>
      </c>
      <c r="V541" t="s">
        <v>223</v>
      </c>
      <c r="W541">
        <v>264</v>
      </c>
      <c r="X541" t="s">
        <v>4195</v>
      </c>
      <c r="Y541" t="s">
        <v>4203</v>
      </c>
      <c r="Z541" t="s">
        <v>4691</v>
      </c>
      <c r="AB541" t="s">
        <v>6058</v>
      </c>
      <c r="AC541">
        <v>105</v>
      </c>
      <c r="AD541" t="s">
        <v>6778</v>
      </c>
      <c r="AE541" t="s">
        <v>3526</v>
      </c>
      <c r="AF541">
        <v>9</v>
      </c>
      <c r="AG541">
        <v>1</v>
      </c>
      <c r="AH541">
        <v>0</v>
      </c>
      <c r="AI541">
        <v>79.65000000000001</v>
      </c>
      <c r="AL541" t="s">
        <v>6801</v>
      </c>
      <c r="AM541">
        <v>9948</v>
      </c>
    </row>
    <row r="542" spans="1:42">
      <c r="A542" s="1">
        <f>HYPERLINK("https://lsnyc.legalserver.org/matter/dynamic-profile/view/1904190","19-1904190")</f>
        <v>0</v>
      </c>
      <c r="B542" t="s">
        <v>99</v>
      </c>
      <c r="C542" t="s">
        <v>209</v>
      </c>
      <c r="E542" t="s">
        <v>769</v>
      </c>
      <c r="F542" t="s">
        <v>1516</v>
      </c>
      <c r="G542" t="s">
        <v>2373</v>
      </c>
      <c r="H542">
        <v>309</v>
      </c>
      <c r="I542" t="s">
        <v>3495</v>
      </c>
      <c r="J542">
        <v>10029</v>
      </c>
      <c r="K542" t="s">
        <v>3522</v>
      </c>
      <c r="L542" t="s">
        <v>3525</v>
      </c>
      <c r="N542" t="s">
        <v>4108</v>
      </c>
      <c r="O542" t="s">
        <v>4132</v>
      </c>
      <c r="Q542" t="s">
        <v>4147</v>
      </c>
      <c r="R542" t="s">
        <v>3522</v>
      </c>
      <c r="T542" t="s">
        <v>4156</v>
      </c>
      <c r="U542" t="s">
        <v>4168</v>
      </c>
      <c r="V542" t="s">
        <v>183</v>
      </c>
      <c r="W542">
        <v>274</v>
      </c>
      <c r="X542" t="s">
        <v>4196</v>
      </c>
      <c r="Y542" t="s">
        <v>4198</v>
      </c>
      <c r="Z542" t="s">
        <v>4692</v>
      </c>
      <c r="AB542" t="s">
        <v>6059</v>
      </c>
      <c r="AC542">
        <v>108</v>
      </c>
      <c r="AD542" t="s">
        <v>6778</v>
      </c>
      <c r="AE542" t="s">
        <v>3526</v>
      </c>
      <c r="AF542">
        <v>29</v>
      </c>
      <c r="AG542">
        <v>2</v>
      </c>
      <c r="AH542">
        <v>0</v>
      </c>
      <c r="AI542">
        <v>79.91</v>
      </c>
      <c r="AL542" t="s">
        <v>6801</v>
      </c>
      <c r="AM542">
        <v>13512</v>
      </c>
    </row>
    <row r="543" spans="1:42">
      <c r="A543" s="1">
        <f>HYPERLINK("https://lsnyc.legalserver.org/matter/dynamic-profile/view/1910942","19-1910942")</f>
        <v>0</v>
      </c>
      <c r="B543" t="s">
        <v>150</v>
      </c>
      <c r="C543" t="s">
        <v>198</v>
      </c>
      <c r="E543" t="s">
        <v>770</v>
      </c>
      <c r="F543" t="s">
        <v>1631</v>
      </c>
      <c r="G543" t="s">
        <v>2584</v>
      </c>
      <c r="H543" t="s">
        <v>3176</v>
      </c>
      <c r="I543" t="s">
        <v>3495</v>
      </c>
      <c r="J543">
        <v>10034</v>
      </c>
      <c r="K543" t="s">
        <v>3522</v>
      </c>
      <c r="L543" t="s">
        <v>3525</v>
      </c>
      <c r="O543" t="s">
        <v>4134</v>
      </c>
      <c r="Q543" t="s">
        <v>4147</v>
      </c>
      <c r="R543" t="s">
        <v>3523</v>
      </c>
      <c r="T543" t="s">
        <v>4156</v>
      </c>
      <c r="V543" t="s">
        <v>198</v>
      </c>
      <c r="W543">
        <v>919.16</v>
      </c>
      <c r="X543" t="s">
        <v>4196</v>
      </c>
      <c r="Y543" t="s">
        <v>4205</v>
      </c>
      <c r="Z543" t="s">
        <v>4693</v>
      </c>
      <c r="AB543" t="s">
        <v>6060</v>
      </c>
      <c r="AC543">
        <v>74</v>
      </c>
      <c r="AD543" t="s">
        <v>6772</v>
      </c>
      <c r="AE543" t="s">
        <v>3526</v>
      </c>
      <c r="AF543">
        <v>29</v>
      </c>
      <c r="AG543">
        <v>2</v>
      </c>
      <c r="AH543">
        <v>0</v>
      </c>
      <c r="AI543">
        <v>79.95</v>
      </c>
      <c r="AL543" t="s">
        <v>6801</v>
      </c>
      <c r="AM543">
        <v>13520</v>
      </c>
    </row>
    <row r="544" spans="1:42">
      <c r="A544" s="1">
        <f>HYPERLINK("https://lsnyc.legalserver.org/matter/dynamic-profile/view/1916025","19-1916025")</f>
        <v>0</v>
      </c>
      <c r="B544" t="s">
        <v>72</v>
      </c>
      <c r="C544" t="s">
        <v>299</v>
      </c>
      <c r="E544" t="s">
        <v>771</v>
      </c>
      <c r="F544" t="s">
        <v>1632</v>
      </c>
      <c r="G544" t="s">
        <v>2585</v>
      </c>
      <c r="H544" t="s">
        <v>3146</v>
      </c>
      <c r="I544" t="s">
        <v>3490</v>
      </c>
      <c r="J544">
        <v>11233</v>
      </c>
      <c r="K544" t="s">
        <v>3522</v>
      </c>
      <c r="L544" t="s">
        <v>3525</v>
      </c>
      <c r="M544" t="s">
        <v>3776</v>
      </c>
      <c r="N544" t="s">
        <v>4109</v>
      </c>
      <c r="O544" t="s">
        <v>4134</v>
      </c>
      <c r="Q544" t="s">
        <v>4147</v>
      </c>
      <c r="R544" t="s">
        <v>3523</v>
      </c>
      <c r="T544" t="s">
        <v>4156</v>
      </c>
      <c r="V544" t="s">
        <v>299</v>
      </c>
      <c r="W544">
        <v>1290</v>
      </c>
      <c r="X544" t="s">
        <v>4193</v>
      </c>
      <c r="Y544" t="s">
        <v>4201</v>
      </c>
      <c r="Z544" t="s">
        <v>4694</v>
      </c>
      <c r="AA544" t="s">
        <v>5581</v>
      </c>
      <c r="AB544" t="s">
        <v>6061</v>
      </c>
      <c r="AC544">
        <v>6</v>
      </c>
      <c r="AD544" t="s">
        <v>6772</v>
      </c>
      <c r="AE544" t="s">
        <v>6788</v>
      </c>
      <c r="AF544">
        <v>13</v>
      </c>
      <c r="AG544">
        <v>3</v>
      </c>
      <c r="AH544">
        <v>4</v>
      </c>
      <c r="AI544">
        <v>79.98</v>
      </c>
      <c r="AL544" t="s">
        <v>6801</v>
      </c>
      <c r="AM544">
        <v>31200</v>
      </c>
      <c r="AN544" t="s">
        <v>6851</v>
      </c>
    </row>
    <row r="545" spans="1:42">
      <c r="A545" s="1">
        <f>HYPERLINK("https://lsnyc.legalserver.org/matter/dynamic-profile/view/1914227","19-1914227")</f>
        <v>0</v>
      </c>
      <c r="B545" t="s">
        <v>88</v>
      </c>
      <c r="C545" t="s">
        <v>245</v>
      </c>
      <c r="E545" t="s">
        <v>560</v>
      </c>
      <c r="F545" t="s">
        <v>1633</v>
      </c>
      <c r="G545" t="s">
        <v>2555</v>
      </c>
      <c r="H545">
        <v>46</v>
      </c>
      <c r="I545" t="s">
        <v>3495</v>
      </c>
      <c r="J545">
        <v>10034</v>
      </c>
      <c r="K545" t="s">
        <v>3522</v>
      </c>
      <c r="L545" t="s">
        <v>3525</v>
      </c>
      <c r="N545" t="s">
        <v>4116</v>
      </c>
      <c r="O545" t="s">
        <v>4135</v>
      </c>
      <c r="Q545" t="s">
        <v>4147</v>
      </c>
      <c r="R545" t="s">
        <v>3523</v>
      </c>
      <c r="T545" t="s">
        <v>4156</v>
      </c>
      <c r="V545" t="s">
        <v>245</v>
      </c>
      <c r="W545">
        <v>867.85</v>
      </c>
      <c r="X545" t="s">
        <v>4196</v>
      </c>
      <c r="Y545" t="s">
        <v>4201</v>
      </c>
      <c r="Z545" t="s">
        <v>4695</v>
      </c>
      <c r="AB545" t="s">
        <v>6062</v>
      </c>
      <c r="AC545">
        <v>28</v>
      </c>
      <c r="AD545" t="s">
        <v>6772</v>
      </c>
      <c r="AE545" t="s">
        <v>6791</v>
      </c>
      <c r="AF545">
        <v>24</v>
      </c>
      <c r="AG545">
        <v>2</v>
      </c>
      <c r="AH545">
        <v>0</v>
      </c>
      <c r="AI545">
        <v>79.98</v>
      </c>
      <c r="AL545" t="s">
        <v>6802</v>
      </c>
      <c r="AM545">
        <v>13524</v>
      </c>
    </row>
    <row r="546" spans="1:42">
      <c r="A546" s="1">
        <f>HYPERLINK("https://lsnyc.legalserver.org/matter/dynamic-profile/view/1913989","19-1913989")</f>
        <v>0</v>
      </c>
      <c r="B546" t="s">
        <v>115</v>
      </c>
      <c r="C546" t="s">
        <v>263</v>
      </c>
      <c r="E546" t="s">
        <v>772</v>
      </c>
      <c r="F546" t="s">
        <v>1634</v>
      </c>
      <c r="G546" t="s">
        <v>2586</v>
      </c>
      <c r="H546" t="s">
        <v>3178</v>
      </c>
      <c r="I546" t="s">
        <v>3495</v>
      </c>
      <c r="J546">
        <v>10034</v>
      </c>
      <c r="K546" t="s">
        <v>3522</v>
      </c>
      <c r="L546" t="s">
        <v>3525</v>
      </c>
      <c r="M546" t="s">
        <v>3777</v>
      </c>
      <c r="N546" t="s">
        <v>4109</v>
      </c>
      <c r="O546" t="s">
        <v>4134</v>
      </c>
      <c r="Q546" t="s">
        <v>4147</v>
      </c>
      <c r="R546" t="s">
        <v>3523</v>
      </c>
      <c r="S546" t="s">
        <v>4147</v>
      </c>
      <c r="T546" t="s">
        <v>4156</v>
      </c>
      <c r="U546" t="s">
        <v>4172</v>
      </c>
      <c r="V546" t="s">
        <v>204</v>
      </c>
      <c r="W546">
        <v>1284</v>
      </c>
      <c r="X546" t="s">
        <v>4196</v>
      </c>
      <c r="Y546" t="s">
        <v>4201</v>
      </c>
      <c r="Z546" t="s">
        <v>4696</v>
      </c>
      <c r="AA546" t="s">
        <v>5582</v>
      </c>
      <c r="AB546" t="s">
        <v>6063</v>
      </c>
      <c r="AC546">
        <v>40</v>
      </c>
      <c r="AD546" t="s">
        <v>6781</v>
      </c>
      <c r="AE546" t="s">
        <v>3526</v>
      </c>
      <c r="AF546">
        <v>5</v>
      </c>
      <c r="AG546">
        <v>1</v>
      </c>
      <c r="AH546">
        <v>2</v>
      </c>
      <c r="AI546">
        <v>80.26000000000001</v>
      </c>
      <c r="AL546" t="s">
        <v>6802</v>
      </c>
      <c r="AM546">
        <v>17120</v>
      </c>
    </row>
    <row r="547" spans="1:42">
      <c r="A547" s="1">
        <f>HYPERLINK("https://lsnyc.legalserver.org/matter/dynamic-profile/view/1904435","19-1904435")</f>
        <v>0</v>
      </c>
      <c r="B547" t="s">
        <v>151</v>
      </c>
      <c r="C547" t="s">
        <v>293</v>
      </c>
      <c r="E547" t="s">
        <v>773</v>
      </c>
      <c r="F547" t="s">
        <v>988</v>
      </c>
      <c r="G547" t="s">
        <v>2587</v>
      </c>
      <c r="I547" t="s">
        <v>3513</v>
      </c>
      <c r="J547">
        <v>14212</v>
      </c>
      <c r="K547" t="s">
        <v>3522</v>
      </c>
      <c r="L547" t="s">
        <v>3525</v>
      </c>
      <c r="M547" t="s">
        <v>3778</v>
      </c>
      <c r="N547" t="s">
        <v>4119</v>
      </c>
      <c r="O547" t="s">
        <v>4134</v>
      </c>
      <c r="Q547" t="s">
        <v>4147</v>
      </c>
      <c r="R547" t="s">
        <v>3523</v>
      </c>
      <c r="T547" t="s">
        <v>4159</v>
      </c>
      <c r="U547" t="s">
        <v>4168</v>
      </c>
      <c r="V547" t="s">
        <v>4174</v>
      </c>
      <c r="W547">
        <v>0</v>
      </c>
      <c r="X547" t="s">
        <v>4192</v>
      </c>
      <c r="Y547" t="s">
        <v>4201</v>
      </c>
      <c r="Z547" t="s">
        <v>4697</v>
      </c>
      <c r="AA547" t="s">
        <v>5482</v>
      </c>
      <c r="AB547" t="s">
        <v>6064</v>
      </c>
      <c r="AC547">
        <v>1</v>
      </c>
      <c r="AD547" t="s">
        <v>5524</v>
      </c>
      <c r="AE547" t="s">
        <v>3526</v>
      </c>
      <c r="AF547">
        <v>-1</v>
      </c>
      <c r="AG547">
        <v>3</v>
      </c>
      <c r="AH547">
        <v>1</v>
      </c>
      <c r="AI547">
        <v>80.39</v>
      </c>
      <c r="AL547" t="s">
        <v>6801</v>
      </c>
      <c r="AM547">
        <v>20700</v>
      </c>
    </row>
    <row r="548" spans="1:42">
      <c r="A548" s="1">
        <f>HYPERLINK("https://lsnyc.legalserver.org/matter/dynamic-profile/view/1910783","19-1910783")</f>
        <v>0</v>
      </c>
      <c r="B548" t="s">
        <v>104</v>
      </c>
      <c r="C548" t="s">
        <v>177</v>
      </c>
      <c r="E548" t="s">
        <v>774</v>
      </c>
      <c r="F548" t="s">
        <v>1301</v>
      </c>
      <c r="G548" t="s">
        <v>2588</v>
      </c>
      <c r="H548" t="s">
        <v>3300</v>
      </c>
      <c r="I548" t="s">
        <v>3493</v>
      </c>
      <c r="J548">
        <v>10456</v>
      </c>
      <c r="K548" t="s">
        <v>3522</v>
      </c>
      <c r="L548" t="s">
        <v>3525</v>
      </c>
      <c r="N548" t="s">
        <v>3554</v>
      </c>
      <c r="O548" t="s">
        <v>4132</v>
      </c>
      <c r="Q548" t="s">
        <v>4147</v>
      </c>
      <c r="R548" t="s">
        <v>3523</v>
      </c>
      <c r="T548" t="s">
        <v>4156</v>
      </c>
      <c r="V548" t="s">
        <v>256</v>
      </c>
      <c r="W548">
        <v>441.73</v>
      </c>
      <c r="X548" t="s">
        <v>4194</v>
      </c>
      <c r="Y548" t="s">
        <v>4201</v>
      </c>
      <c r="Z548" t="s">
        <v>4698</v>
      </c>
      <c r="AC548">
        <v>0</v>
      </c>
      <c r="AD548" t="s">
        <v>6772</v>
      </c>
      <c r="AE548" t="s">
        <v>6786</v>
      </c>
      <c r="AF548">
        <v>47</v>
      </c>
      <c r="AG548">
        <v>1</v>
      </c>
      <c r="AH548">
        <v>0</v>
      </c>
      <c r="AI548">
        <v>80.42</v>
      </c>
      <c r="AL548" t="s">
        <v>6801</v>
      </c>
      <c r="AM548">
        <v>10044</v>
      </c>
    </row>
    <row r="549" spans="1:42">
      <c r="A549" s="1">
        <f>HYPERLINK("https://lsnyc.legalserver.org/matter/dynamic-profile/view/1907979","19-1907979")</f>
        <v>0</v>
      </c>
      <c r="B549" t="s">
        <v>61</v>
      </c>
      <c r="C549" t="s">
        <v>193</v>
      </c>
      <c r="D549" t="s">
        <v>279</v>
      </c>
      <c r="E549" t="s">
        <v>775</v>
      </c>
      <c r="F549" t="s">
        <v>1524</v>
      </c>
      <c r="G549" t="s">
        <v>2589</v>
      </c>
      <c r="H549" t="s">
        <v>3308</v>
      </c>
      <c r="I549" t="s">
        <v>3490</v>
      </c>
      <c r="J549">
        <v>11225</v>
      </c>
      <c r="K549" t="s">
        <v>3522</v>
      </c>
      <c r="L549" t="s">
        <v>3525</v>
      </c>
      <c r="M549" t="s">
        <v>3779</v>
      </c>
      <c r="N549" t="s">
        <v>4107</v>
      </c>
      <c r="O549" t="s">
        <v>4132</v>
      </c>
      <c r="P549" t="s">
        <v>4139</v>
      </c>
      <c r="Q549" t="s">
        <v>4147</v>
      </c>
      <c r="R549" t="s">
        <v>3523</v>
      </c>
      <c r="T549" t="s">
        <v>4156</v>
      </c>
      <c r="U549" t="s">
        <v>4171</v>
      </c>
      <c r="V549" t="s">
        <v>193</v>
      </c>
      <c r="W549">
        <v>800</v>
      </c>
      <c r="X549" t="s">
        <v>4193</v>
      </c>
      <c r="Y549" t="s">
        <v>4203</v>
      </c>
      <c r="Z549" t="s">
        <v>4699</v>
      </c>
      <c r="AA549" t="s">
        <v>5488</v>
      </c>
      <c r="AB549" t="s">
        <v>6065</v>
      </c>
      <c r="AC549">
        <v>3</v>
      </c>
      <c r="AD549" t="s">
        <v>5524</v>
      </c>
      <c r="AE549" t="s">
        <v>3526</v>
      </c>
      <c r="AF549">
        <v>5</v>
      </c>
      <c r="AG549">
        <v>1</v>
      </c>
      <c r="AH549">
        <v>0</v>
      </c>
      <c r="AI549">
        <v>80.51000000000001</v>
      </c>
      <c r="AL549" t="s">
        <v>6801</v>
      </c>
      <c r="AM549">
        <v>10056</v>
      </c>
    </row>
    <row r="550" spans="1:42">
      <c r="A550" s="1">
        <f>HYPERLINK("https://lsnyc.legalserver.org/matter/dynamic-profile/view/1912558","19-1912558")</f>
        <v>0</v>
      </c>
      <c r="B550" t="s">
        <v>116</v>
      </c>
      <c r="C550" t="s">
        <v>178</v>
      </c>
      <c r="E550" t="s">
        <v>514</v>
      </c>
      <c r="F550" t="s">
        <v>588</v>
      </c>
      <c r="G550" t="s">
        <v>2528</v>
      </c>
      <c r="H550" t="s">
        <v>3309</v>
      </c>
      <c r="I550" t="s">
        <v>3493</v>
      </c>
      <c r="J550">
        <v>10458</v>
      </c>
      <c r="K550" t="s">
        <v>3522</v>
      </c>
      <c r="L550" t="s">
        <v>3527</v>
      </c>
      <c r="M550" t="s">
        <v>3780</v>
      </c>
      <c r="N550" t="s">
        <v>4109</v>
      </c>
      <c r="O550" t="s">
        <v>4134</v>
      </c>
      <c r="Q550" t="s">
        <v>4147</v>
      </c>
      <c r="R550" t="s">
        <v>3523</v>
      </c>
      <c r="T550" t="s">
        <v>4156</v>
      </c>
      <c r="V550" t="s">
        <v>178</v>
      </c>
      <c r="W550">
        <v>1052.53</v>
      </c>
      <c r="X550" t="s">
        <v>4194</v>
      </c>
      <c r="Y550" t="s">
        <v>4206</v>
      </c>
      <c r="Z550" t="s">
        <v>4700</v>
      </c>
      <c r="AB550" t="s">
        <v>6066</v>
      </c>
      <c r="AC550">
        <v>94</v>
      </c>
      <c r="AD550" t="s">
        <v>5524</v>
      </c>
      <c r="AE550" t="s">
        <v>3526</v>
      </c>
      <c r="AF550">
        <v>6</v>
      </c>
      <c r="AG550">
        <v>1</v>
      </c>
      <c r="AH550">
        <v>2</v>
      </c>
      <c r="AI550">
        <v>80.64</v>
      </c>
      <c r="AL550" t="s">
        <v>6801</v>
      </c>
      <c r="AM550">
        <v>17200</v>
      </c>
    </row>
    <row r="551" spans="1:42">
      <c r="A551" s="1">
        <f>HYPERLINK("https://lsnyc.legalserver.org/matter/dynamic-profile/view/1903507","19-1903507")</f>
        <v>0</v>
      </c>
      <c r="B551" t="s">
        <v>110</v>
      </c>
      <c r="C551" t="s">
        <v>323</v>
      </c>
      <c r="D551" t="s">
        <v>247</v>
      </c>
      <c r="E551" t="s">
        <v>776</v>
      </c>
      <c r="F551" t="s">
        <v>1635</v>
      </c>
      <c r="G551" t="s">
        <v>2590</v>
      </c>
      <c r="H551">
        <v>402</v>
      </c>
      <c r="I551" t="s">
        <v>3490</v>
      </c>
      <c r="J551">
        <v>11212</v>
      </c>
      <c r="K551" t="s">
        <v>3522</v>
      </c>
      <c r="L551" t="s">
        <v>3525</v>
      </c>
      <c r="M551" t="s">
        <v>3554</v>
      </c>
      <c r="N551" t="s">
        <v>3554</v>
      </c>
      <c r="O551" t="s">
        <v>4132</v>
      </c>
      <c r="P551" t="s">
        <v>4139</v>
      </c>
      <c r="Q551" t="s">
        <v>4147</v>
      </c>
      <c r="R551" t="s">
        <v>3523</v>
      </c>
      <c r="T551" t="s">
        <v>4156</v>
      </c>
      <c r="V551" t="s">
        <v>336</v>
      </c>
      <c r="W551">
        <v>336</v>
      </c>
      <c r="X551" t="s">
        <v>4193</v>
      </c>
      <c r="Y551" t="s">
        <v>4200</v>
      </c>
      <c r="Z551" t="s">
        <v>4701</v>
      </c>
      <c r="AB551" t="s">
        <v>6067</v>
      </c>
      <c r="AC551">
        <v>161</v>
      </c>
      <c r="AD551" t="s">
        <v>6776</v>
      </c>
      <c r="AE551" t="s">
        <v>6790</v>
      </c>
      <c r="AF551">
        <v>2</v>
      </c>
      <c r="AG551">
        <v>1</v>
      </c>
      <c r="AH551">
        <v>0</v>
      </c>
      <c r="AI551">
        <v>80.7</v>
      </c>
      <c r="AL551" t="s">
        <v>6801</v>
      </c>
      <c r="AM551">
        <v>10080</v>
      </c>
    </row>
    <row r="552" spans="1:42">
      <c r="A552" s="1">
        <f>HYPERLINK("https://lsnyc.legalserver.org/matter/dynamic-profile/view/1907759","19-1907759")</f>
        <v>0</v>
      </c>
      <c r="B552" t="s">
        <v>72</v>
      </c>
      <c r="C552" t="s">
        <v>222</v>
      </c>
      <c r="E552" t="s">
        <v>777</v>
      </c>
      <c r="F552" t="s">
        <v>1277</v>
      </c>
      <c r="G552" t="s">
        <v>2264</v>
      </c>
      <c r="H552" t="s">
        <v>3310</v>
      </c>
      <c r="I552" t="s">
        <v>3490</v>
      </c>
      <c r="J552">
        <v>11212</v>
      </c>
      <c r="K552" t="s">
        <v>3522</v>
      </c>
      <c r="L552" t="s">
        <v>3525</v>
      </c>
      <c r="M552" t="s">
        <v>3526</v>
      </c>
      <c r="N552" t="s">
        <v>4112</v>
      </c>
      <c r="O552" t="s">
        <v>4135</v>
      </c>
      <c r="Q552" t="s">
        <v>4147</v>
      </c>
      <c r="R552" t="s">
        <v>3522</v>
      </c>
      <c r="T552" t="s">
        <v>4156</v>
      </c>
      <c r="U552" t="s">
        <v>4168</v>
      </c>
      <c r="V552" t="s">
        <v>207</v>
      </c>
      <c r="W552">
        <v>594.1799999999999</v>
      </c>
      <c r="X552" t="s">
        <v>4193</v>
      </c>
      <c r="Y552" t="s">
        <v>4206</v>
      </c>
      <c r="Z552" t="s">
        <v>4702</v>
      </c>
      <c r="AB552" t="s">
        <v>6068</v>
      </c>
      <c r="AC552">
        <v>96</v>
      </c>
      <c r="AD552" t="s">
        <v>6772</v>
      </c>
      <c r="AE552" t="s">
        <v>6791</v>
      </c>
      <c r="AF552">
        <v>35</v>
      </c>
      <c r="AG552">
        <v>1</v>
      </c>
      <c r="AH552">
        <v>0</v>
      </c>
      <c r="AI552">
        <v>80.7</v>
      </c>
      <c r="AL552" t="s">
        <v>6801</v>
      </c>
      <c r="AM552">
        <v>10080</v>
      </c>
    </row>
    <row r="553" spans="1:42">
      <c r="A553" s="1">
        <f>HYPERLINK("https://lsnyc.legalserver.org/matter/dynamic-profile/view/1908822","19-1908822")</f>
        <v>0</v>
      </c>
      <c r="B553" t="s">
        <v>152</v>
      </c>
      <c r="C553" t="s">
        <v>236</v>
      </c>
      <c r="D553" t="s">
        <v>236</v>
      </c>
      <c r="E553" t="s">
        <v>450</v>
      </c>
      <c r="F553" t="s">
        <v>1636</v>
      </c>
      <c r="G553" t="s">
        <v>2591</v>
      </c>
      <c r="H553">
        <v>2</v>
      </c>
      <c r="I553" t="s">
        <v>3490</v>
      </c>
      <c r="J553">
        <v>11207</v>
      </c>
      <c r="K553" t="s">
        <v>3522</v>
      </c>
      <c r="L553" t="s">
        <v>3527</v>
      </c>
      <c r="M553" t="s">
        <v>3781</v>
      </c>
      <c r="N553" t="s">
        <v>4122</v>
      </c>
      <c r="O553" t="s">
        <v>4132</v>
      </c>
      <c r="P553" t="s">
        <v>4139</v>
      </c>
      <c r="Q553" t="s">
        <v>4147</v>
      </c>
      <c r="R553" t="s">
        <v>3523</v>
      </c>
      <c r="T553" t="s">
        <v>4156</v>
      </c>
      <c r="V553" t="s">
        <v>236</v>
      </c>
      <c r="W553">
        <v>0</v>
      </c>
      <c r="X553" t="s">
        <v>4193</v>
      </c>
      <c r="Y553" t="s">
        <v>4197</v>
      </c>
      <c r="Z553" t="s">
        <v>4703</v>
      </c>
      <c r="AA553" t="s">
        <v>5583</v>
      </c>
      <c r="AB553" t="s">
        <v>6069</v>
      </c>
      <c r="AC553">
        <v>0</v>
      </c>
      <c r="AF553">
        <v>0</v>
      </c>
      <c r="AG553">
        <v>1</v>
      </c>
      <c r="AH553">
        <v>0</v>
      </c>
      <c r="AI553">
        <v>80.7</v>
      </c>
      <c r="AL553" t="s">
        <v>6802</v>
      </c>
      <c r="AM553">
        <v>10080</v>
      </c>
    </row>
    <row r="554" spans="1:42">
      <c r="A554" s="1">
        <f>HYPERLINK("https://lsnyc.legalserver.org/matter/dynamic-profile/view/1909584","19-1909584")</f>
        <v>0</v>
      </c>
      <c r="B554" t="s">
        <v>79</v>
      </c>
      <c r="C554" t="s">
        <v>184</v>
      </c>
      <c r="D554" t="s">
        <v>231</v>
      </c>
      <c r="E554" t="s">
        <v>778</v>
      </c>
      <c r="F554" t="s">
        <v>1637</v>
      </c>
      <c r="G554" t="s">
        <v>2592</v>
      </c>
      <c r="H554" t="s">
        <v>3246</v>
      </c>
      <c r="I554" t="s">
        <v>3493</v>
      </c>
      <c r="J554">
        <v>10457</v>
      </c>
      <c r="K554" t="s">
        <v>3522</v>
      </c>
      <c r="L554" t="s">
        <v>3525</v>
      </c>
      <c r="M554" t="s">
        <v>3782</v>
      </c>
      <c r="N554" t="s">
        <v>4108</v>
      </c>
      <c r="O554" t="s">
        <v>4132</v>
      </c>
      <c r="P554" t="s">
        <v>4139</v>
      </c>
      <c r="Q554" t="s">
        <v>4147</v>
      </c>
      <c r="R554" t="s">
        <v>3523</v>
      </c>
      <c r="T554" t="s">
        <v>4156</v>
      </c>
      <c r="U554" t="s">
        <v>4168</v>
      </c>
      <c r="V554" t="s">
        <v>380</v>
      </c>
      <c r="W554">
        <v>172</v>
      </c>
      <c r="X554" t="s">
        <v>4194</v>
      </c>
      <c r="Y554" t="s">
        <v>4198</v>
      </c>
      <c r="Z554" t="s">
        <v>4704</v>
      </c>
      <c r="AB554" t="s">
        <v>6070</v>
      </c>
      <c r="AC554">
        <v>0</v>
      </c>
      <c r="AD554" t="s">
        <v>6778</v>
      </c>
      <c r="AE554" t="s">
        <v>6786</v>
      </c>
      <c r="AF554">
        <v>17</v>
      </c>
      <c r="AG554">
        <v>1</v>
      </c>
      <c r="AH554">
        <v>0</v>
      </c>
      <c r="AI554">
        <v>80.7</v>
      </c>
      <c r="AL554" t="s">
        <v>6801</v>
      </c>
      <c r="AM554">
        <v>10080</v>
      </c>
    </row>
    <row r="555" spans="1:42">
      <c r="A555" s="1">
        <f>HYPERLINK("https://lsnyc.legalserver.org/matter/dynamic-profile/view/1902334","19-1902334")</f>
        <v>0</v>
      </c>
      <c r="B555" t="s">
        <v>107</v>
      </c>
      <c r="C555" t="s">
        <v>293</v>
      </c>
      <c r="D555" t="s">
        <v>188</v>
      </c>
      <c r="E555" t="s">
        <v>388</v>
      </c>
      <c r="F555" t="s">
        <v>1638</v>
      </c>
      <c r="G555" t="s">
        <v>2593</v>
      </c>
      <c r="I555" t="s">
        <v>3494</v>
      </c>
      <c r="J555">
        <v>10301</v>
      </c>
      <c r="K555" t="s">
        <v>3522</v>
      </c>
      <c r="L555" t="s">
        <v>3525</v>
      </c>
      <c r="M555" t="s">
        <v>3554</v>
      </c>
      <c r="N555" t="s">
        <v>3554</v>
      </c>
      <c r="O555" t="s">
        <v>4132</v>
      </c>
      <c r="P555" t="s">
        <v>4139</v>
      </c>
      <c r="Q555" t="s">
        <v>4147</v>
      </c>
      <c r="R555" t="s">
        <v>3523</v>
      </c>
      <c r="T555" t="s">
        <v>4156</v>
      </c>
      <c r="V555" t="s">
        <v>293</v>
      </c>
      <c r="W555">
        <v>200</v>
      </c>
      <c r="X555" t="s">
        <v>4195</v>
      </c>
      <c r="Y555" t="s">
        <v>4212</v>
      </c>
      <c r="Z555" t="s">
        <v>4705</v>
      </c>
      <c r="AB555" t="s">
        <v>6071</v>
      </c>
      <c r="AC555">
        <v>0</v>
      </c>
      <c r="AE555" t="s">
        <v>3526</v>
      </c>
      <c r="AF555">
        <v>10</v>
      </c>
      <c r="AG555">
        <v>1</v>
      </c>
      <c r="AH555">
        <v>0</v>
      </c>
      <c r="AI555">
        <v>80.7</v>
      </c>
      <c r="AL555" t="s">
        <v>6813</v>
      </c>
      <c r="AM555">
        <v>10080</v>
      </c>
      <c r="AP555" t="s">
        <v>4200</v>
      </c>
    </row>
    <row r="556" spans="1:42">
      <c r="A556" s="1">
        <f>HYPERLINK("https://lsnyc.legalserver.org/matter/dynamic-profile/view/1914702","19-1914702")</f>
        <v>0</v>
      </c>
      <c r="B556" t="s">
        <v>67</v>
      </c>
      <c r="C556" t="s">
        <v>269</v>
      </c>
      <c r="E556" t="s">
        <v>779</v>
      </c>
      <c r="F556" t="s">
        <v>418</v>
      </c>
      <c r="G556" t="s">
        <v>2212</v>
      </c>
      <c r="H556">
        <v>41</v>
      </c>
      <c r="I556" t="s">
        <v>3490</v>
      </c>
      <c r="J556">
        <v>11213</v>
      </c>
      <c r="K556" t="s">
        <v>3522</v>
      </c>
      <c r="L556" t="s">
        <v>3525</v>
      </c>
      <c r="M556" t="s">
        <v>3570</v>
      </c>
      <c r="N556" t="s">
        <v>4115</v>
      </c>
      <c r="O556" t="s">
        <v>4134</v>
      </c>
      <c r="Q556" t="s">
        <v>4147</v>
      </c>
      <c r="R556" t="s">
        <v>3522</v>
      </c>
      <c r="T556" t="s">
        <v>4156</v>
      </c>
      <c r="U556" t="s">
        <v>4168</v>
      </c>
      <c r="V556" t="s">
        <v>4178</v>
      </c>
      <c r="W556">
        <v>739.64</v>
      </c>
      <c r="X556" t="s">
        <v>4193</v>
      </c>
      <c r="Y556" t="s">
        <v>4198</v>
      </c>
      <c r="Z556" t="s">
        <v>4706</v>
      </c>
      <c r="AA556">
        <v>109154905</v>
      </c>
      <c r="AB556" t="s">
        <v>6072</v>
      </c>
      <c r="AC556">
        <v>31</v>
      </c>
      <c r="AD556" t="s">
        <v>6772</v>
      </c>
      <c r="AE556" t="s">
        <v>3526</v>
      </c>
      <c r="AF556">
        <v>35</v>
      </c>
      <c r="AG556">
        <v>2</v>
      </c>
      <c r="AH556">
        <v>0</v>
      </c>
      <c r="AI556">
        <v>80.76000000000001</v>
      </c>
      <c r="AL556" t="s">
        <v>6801</v>
      </c>
      <c r="AM556">
        <v>13656</v>
      </c>
    </row>
    <row r="557" spans="1:42">
      <c r="A557" s="1">
        <f>HYPERLINK("https://lsnyc.legalserver.org/matter/dynamic-profile/view/1914288","19-1914288")</f>
        <v>0</v>
      </c>
      <c r="B557" t="s">
        <v>153</v>
      </c>
      <c r="C557" t="s">
        <v>245</v>
      </c>
      <c r="E557" t="s">
        <v>779</v>
      </c>
      <c r="F557" t="s">
        <v>418</v>
      </c>
      <c r="G557" t="s">
        <v>2212</v>
      </c>
      <c r="H557">
        <v>41</v>
      </c>
      <c r="I557" t="s">
        <v>3490</v>
      </c>
      <c r="J557">
        <v>11213</v>
      </c>
      <c r="K557" t="s">
        <v>3522</v>
      </c>
      <c r="L557" t="s">
        <v>3525</v>
      </c>
      <c r="M557" t="s">
        <v>3526</v>
      </c>
      <c r="N557" t="s">
        <v>3554</v>
      </c>
      <c r="O557" t="s">
        <v>4135</v>
      </c>
      <c r="Q557" t="s">
        <v>4147</v>
      </c>
      <c r="R557" t="s">
        <v>3522</v>
      </c>
      <c r="T557" t="s">
        <v>4156</v>
      </c>
      <c r="U557" t="s">
        <v>4168</v>
      </c>
      <c r="V557" t="s">
        <v>238</v>
      </c>
      <c r="W557">
        <v>739.64</v>
      </c>
      <c r="X557" t="s">
        <v>4193</v>
      </c>
      <c r="Y557" t="s">
        <v>4198</v>
      </c>
      <c r="Z557" t="s">
        <v>4706</v>
      </c>
      <c r="AA557">
        <v>109154905</v>
      </c>
      <c r="AB557" t="s">
        <v>6072</v>
      </c>
      <c r="AC557">
        <v>31</v>
      </c>
      <c r="AD557" t="s">
        <v>6772</v>
      </c>
      <c r="AE557" t="s">
        <v>3526</v>
      </c>
      <c r="AF557">
        <v>35</v>
      </c>
      <c r="AG557">
        <v>2</v>
      </c>
      <c r="AH557">
        <v>0</v>
      </c>
      <c r="AI557">
        <v>80.76000000000001</v>
      </c>
      <c r="AL557" t="s">
        <v>6801</v>
      </c>
      <c r="AM557">
        <v>13656</v>
      </c>
      <c r="AN557" t="s">
        <v>6852</v>
      </c>
    </row>
    <row r="558" spans="1:42">
      <c r="A558" s="1">
        <f>HYPERLINK("https://lsnyc.legalserver.org/matter/dynamic-profile/view/1912952","19-1912952")</f>
        <v>0</v>
      </c>
      <c r="B558" t="s">
        <v>108</v>
      </c>
      <c r="C558" t="s">
        <v>196</v>
      </c>
      <c r="E558" t="s">
        <v>780</v>
      </c>
      <c r="F558" t="s">
        <v>1639</v>
      </c>
      <c r="G558" t="s">
        <v>2594</v>
      </c>
      <c r="H558" t="s">
        <v>3127</v>
      </c>
      <c r="I558" t="s">
        <v>3487</v>
      </c>
      <c r="J558">
        <v>11368</v>
      </c>
      <c r="K558" t="s">
        <v>3522</v>
      </c>
      <c r="L558" t="s">
        <v>3525</v>
      </c>
      <c r="M558" t="s">
        <v>3783</v>
      </c>
      <c r="N558" t="s">
        <v>4107</v>
      </c>
      <c r="O558" t="s">
        <v>4134</v>
      </c>
      <c r="Q558" t="s">
        <v>4147</v>
      </c>
      <c r="R558" t="s">
        <v>3523</v>
      </c>
      <c r="T558" t="s">
        <v>4156</v>
      </c>
      <c r="U558" t="s">
        <v>4168</v>
      </c>
      <c r="V558" t="s">
        <v>196</v>
      </c>
      <c r="W558">
        <v>2000</v>
      </c>
      <c r="X558" t="s">
        <v>4192</v>
      </c>
      <c r="Y558" t="s">
        <v>4203</v>
      </c>
      <c r="Z558" t="s">
        <v>4707</v>
      </c>
      <c r="AA558" t="s">
        <v>5482</v>
      </c>
      <c r="AB558" t="s">
        <v>5482</v>
      </c>
      <c r="AC558">
        <v>2</v>
      </c>
      <c r="AD558" t="s">
        <v>5524</v>
      </c>
      <c r="AE558" t="s">
        <v>3526</v>
      </c>
      <c r="AF558">
        <v>2</v>
      </c>
      <c r="AG558">
        <v>2</v>
      </c>
      <c r="AH558">
        <v>2</v>
      </c>
      <c r="AI558">
        <v>80.78</v>
      </c>
      <c r="AL558" t="s">
        <v>6802</v>
      </c>
      <c r="AM558">
        <v>20800</v>
      </c>
    </row>
    <row r="559" spans="1:42">
      <c r="A559" s="1">
        <f>HYPERLINK("https://lsnyc.legalserver.org/matter/dynamic-profile/view/1915291","19-1915291")</f>
        <v>0</v>
      </c>
      <c r="B559" t="s">
        <v>94</v>
      </c>
      <c r="C559" t="s">
        <v>204</v>
      </c>
      <c r="E559" t="s">
        <v>781</v>
      </c>
      <c r="F559" t="s">
        <v>1640</v>
      </c>
      <c r="G559" t="s">
        <v>2480</v>
      </c>
      <c r="H559" t="s">
        <v>3202</v>
      </c>
      <c r="I559" t="s">
        <v>3495</v>
      </c>
      <c r="J559">
        <v>10035</v>
      </c>
      <c r="K559" t="s">
        <v>3522</v>
      </c>
      <c r="L559" t="s">
        <v>3525</v>
      </c>
      <c r="N559" t="s">
        <v>4110</v>
      </c>
      <c r="O559" t="s">
        <v>4134</v>
      </c>
      <c r="Q559" t="s">
        <v>4147</v>
      </c>
      <c r="R559" t="s">
        <v>3522</v>
      </c>
      <c r="T559" t="s">
        <v>4156</v>
      </c>
      <c r="U559" t="s">
        <v>4168</v>
      </c>
      <c r="V559" t="s">
        <v>204</v>
      </c>
      <c r="W559">
        <v>2500</v>
      </c>
      <c r="X559" t="s">
        <v>4196</v>
      </c>
      <c r="Y559" t="s">
        <v>4201</v>
      </c>
      <c r="Z559" t="s">
        <v>4708</v>
      </c>
      <c r="AB559" t="s">
        <v>6073</v>
      </c>
      <c r="AC559">
        <v>60</v>
      </c>
      <c r="AD559" t="s">
        <v>6772</v>
      </c>
      <c r="AE559" t="s">
        <v>6786</v>
      </c>
      <c r="AF559">
        <v>14</v>
      </c>
      <c r="AG559">
        <v>1</v>
      </c>
      <c r="AH559">
        <v>0</v>
      </c>
      <c r="AI559">
        <v>80.8</v>
      </c>
      <c r="AL559" t="s">
        <v>6802</v>
      </c>
      <c r="AM559">
        <v>10092</v>
      </c>
    </row>
    <row r="560" spans="1:42">
      <c r="A560" s="1">
        <f>HYPERLINK("https://lsnyc.legalserver.org/matter/dynamic-profile/view/1914818","19-1914818")</f>
        <v>0</v>
      </c>
      <c r="B560" t="s">
        <v>94</v>
      </c>
      <c r="C560" t="s">
        <v>301</v>
      </c>
      <c r="E560" t="s">
        <v>781</v>
      </c>
      <c r="F560" t="s">
        <v>1640</v>
      </c>
      <c r="G560" t="s">
        <v>2480</v>
      </c>
      <c r="H560" t="s">
        <v>3202</v>
      </c>
      <c r="I560" t="s">
        <v>3495</v>
      </c>
      <c r="J560">
        <v>10035</v>
      </c>
      <c r="K560" t="s">
        <v>3522</v>
      </c>
      <c r="L560" t="s">
        <v>3526</v>
      </c>
      <c r="N560" t="s">
        <v>4108</v>
      </c>
      <c r="O560" t="s">
        <v>4134</v>
      </c>
      <c r="Q560" t="s">
        <v>4147</v>
      </c>
      <c r="R560" t="s">
        <v>3522</v>
      </c>
      <c r="T560" t="s">
        <v>4156</v>
      </c>
      <c r="U560" t="s">
        <v>4168</v>
      </c>
      <c r="V560" t="s">
        <v>267</v>
      </c>
      <c r="W560">
        <v>2500</v>
      </c>
      <c r="X560" t="s">
        <v>4196</v>
      </c>
      <c r="Y560" t="s">
        <v>4201</v>
      </c>
      <c r="Z560" t="s">
        <v>4708</v>
      </c>
      <c r="AB560" t="s">
        <v>6073</v>
      </c>
      <c r="AC560">
        <v>60</v>
      </c>
      <c r="AD560" t="s">
        <v>6772</v>
      </c>
      <c r="AE560" t="s">
        <v>6786</v>
      </c>
      <c r="AF560">
        <v>14</v>
      </c>
      <c r="AG560">
        <v>1</v>
      </c>
      <c r="AH560">
        <v>0</v>
      </c>
      <c r="AI560">
        <v>80.8</v>
      </c>
      <c r="AL560" t="s">
        <v>6802</v>
      </c>
      <c r="AM560">
        <v>10092</v>
      </c>
    </row>
    <row r="561" spans="1:44">
      <c r="A561" s="1">
        <f>HYPERLINK("https://lsnyc.legalserver.org/matter/dynamic-profile/view/1904660","19-1904660")</f>
        <v>0</v>
      </c>
      <c r="B561" t="s">
        <v>154</v>
      </c>
      <c r="C561" t="s">
        <v>246</v>
      </c>
      <c r="D561" t="s">
        <v>225</v>
      </c>
      <c r="E561" t="s">
        <v>449</v>
      </c>
      <c r="F561" t="s">
        <v>1641</v>
      </c>
      <c r="G561" t="s">
        <v>2595</v>
      </c>
      <c r="H561" t="s">
        <v>3148</v>
      </c>
      <c r="I561" t="s">
        <v>3495</v>
      </c>
      <c r="J561">
        <v>10030</v>
      </c>
      <c r="K561" t="s">
        <v>3522</v>
      </c>
      <c r="L561" t="s">
        <v>3525</v>
      </c>
      <c r="M561" t="s">
        <v>3784</v>
      </c>
      <c r="N561" t="s">
        <v>4107</v>
      </c>
      <c r="O561" t="s">
        <v>4132</v>
      </c>
      <c r="P561" t="s">
        <v>4139</v>
      </c>
      <c r="Q561" t="s">
        <v>4147</v>
      </c>
      <c r="R561" t="s">
        <v>3523</v>
      </c>
      <c r="T561" t="s">
        <v>4156</v>
      </c>
      <c r="U561" t="s">
        <v>4168</v>
      </c>
      <c r="V561" t="s">
        <v>246</v>
      </c>
      <c r="W561">
        <v>0</v>
      </c>
      <c r="X561" t="s">
        <v>4196</v>
      </c>
      <c r="Y561" t="s">
        <v>4197</v>
      </c>
      <c r="Z561" t="s">
        <v>4709</v>
      </c>
      <c r="AB561" t="s">
        <v>6074</v>
      </c>
      <c r="AC561">
        <v>18</v>
      </c>
      <c r="AD561" t="s">
        <v>6772</v>
      </c>
      <c r="AE561" t="s">
        <v>3526</v>
      </c>
      <c r="AF561">
        <v>8</v>
      </c>
      <c r="AG561">
        <v>1</v>
      </c>
      <c r="AH561">
        <v>0</v>
      </c>
      <c r="AI561">
        <v>80.90000000000001</v>
      </c>
      <c r="AL561" t="s">
        <v>6801</v>
      </c>
      <c r="AM561">
        <v>10104</v>
      </c>
    </row>
    <row r="562" spans="1:44">
      <c r="A562" s="1">
        <f>HYPERLINK("https://lsnyc.legalserver.org/matter/dynamic-profile/view/1910916","19-1910916")</f>
        <v>0</v>
      </c>
      <c r="B562" t="s">
        <v>53</v>
      </c>
      <c r="C562" t="s">
        <v>198</v>
      </c>
      <c r="E562" t="s">
        <v>543</v>
      </c>
      <c r="F562" t="s">
        <v>1642</v>
      </c>
      <c r="G562" t="s">
        <v>2596</v>
      </c>
      <c r="H562" t="s">
        <v>3311</v>
      </c>
      <c r="I562" t="s">
        <v>3490</v>
      </c>
      <c r="J562">
        <v>11220</v>
      </c>
      <c r="K562" t="s">
        <v>3522</v>
      </c>
      <c r="L562" t="s">
        <v>3525</v>
      </c>
      <c r="N562" t="s">
        <v>4108</v>
      </c>
      <c r="O562" t="s">
        <v>4134</v>
      </c>
      <c r="Q562" t="s">
        <v>4147</v>
      </c>
      <c r="R562" t="s">
        <v>3523</v>
      </c>
      <c r="T562" t="s">
        <v>4156</v>
      </c>
      <c r="U562" t="s">
        <v>4170</v>
      </c>
      <c r="V562" t="s">
        <v>203</v>
      </c>
      <c r="W562">
        <v>0</v>
      </c>
      <c r="X562" t="s">
        <v>4193</v>
      </c>
      <c r="Y562" t="s">
        <v>4203</v>
      </c>
      <c r="Z562" t="s">
        <v>4710</v>
      </c>
      <c r="AB562" t="s">
        <v>6075</v>
      </c>
      <c r="AC562">
        <v>6</v>
      </c>
      <c r="AD562" t="s">
        <v>6772</v>
      </c>
      <c r="AF562">
        <v>66</v>
      </c>
      <c r="AG562">
        <v>1</v>
      </c>
      <c r="AH562">
        <v>0</v>
      </c>
      <c r="AI562">
        <v>81.18000000000001</v>
      </c>
      <c r="AL562" t="s">
        <v>6801</v>
      </c>
      <c r="AM562">
        <v>10140</v>
      </c>
    </row>
    <row r="563" spans="1:44">
      <c r="A563" s="1">
        <f>HYPERLINK("https://lsnyc.legalserver.org/matter/dynamic-profile/view/1911242","19-1911242")</f>
        <v>0</v>
      </c>
      <c r="B563" t="s">
        <v>106</v>
      </c>
      <c r="C563" t="s">
        <v>324</v>
      </c>
      <c r="D563" t="s">
        <v>258</v>
      </c>
      <c r="E563" t="s">
        <v>782</v>
      </c>
      <c r="F563" t="s">
        <v>1643</v>
      </c>
      <c r="G563" t="s">
        <v>2597</v>
      </c>
      <c r="H563" t="s">
        <v>3146</v>
      </c>
      <c r="I563" t="s">
        <v>3493</v>
      </c>
      <c r="J563">
        <v>10459</v>
      </c>
      <c r="K563" t="s">
        <v>3522</v>
      </c>
      <c r="L563" t="s">
        <v>3525</v>
      </c>
      <c r="N563" t="s">
        <v>3554</v>
      </c>
      <c r="O563" t="s">
        <v>4132</v>
      </c>
      <c r="P563" t="s">
        <v>4139</v>
      </c>
      <c r="Q563" t="s">
        <v>4147</v>
      </c>
      <c r="R563" t="s">
        <v>3523</v>
      </c>
      <c r="T563" t="s">
        <v>4156</v>
      </c>
      <c r="V563" t="s">
        <v>256</v>
      </c>
      <c r="W563">
        <v>171</v>
      </c>
      <c r="X563" t="s">
        <v>4194</v>
      </c>
      <c r="Z563" t="s">
        <v>4711</v>
      </c>
      <c r="AB563" t="s">
        <v>6076</v>
      </c>
      <c r="AC563">
        <v>4</v>
      </c>
      <c r="AD563" t="s">
        <v>6778</v>
      </c>
      <c r="AE563" t="s">
        <v>6786</v>
      </c>
      <c r="AF563">
        <v>16</v>
      </c>
      <c r="AG563">
        <v>1</v>
      </c>
      <c r="AH563">
        <v>0</v>
      </c>
      <c r="AI563">
        <v>81.18000000000001</v>
      </c>
      <c r="AL563" t="s">
        <v>6802</v>
      </c>
      <c r="AM563">
        <v>10140</v>
      </c>
    </row>
    <row r="564" spans="1:44">
      <c r="A564" s="1">
        <f>HYPERLINK("https://lsnyc.legalserver.org/matter/dynamic-profile/view/1915632","19-1915632")</f>
        <v>0</v>
      </c>
      <c r="B564" t="s">
        <v>89</v>
      </c>
      <c r="C564" t="s">
        <v>325</v>
      </c>
      <c r="E564" t="s">
        <v>783</v>
      </c>
      <c r="F564" t="s">
        <v>1268</v>
      </c>
      <c r="G564" t="s">
        <v>2297</v>
      </c>
      <c r="H564" t="s">
        <v>3177</v>
      </c>
      <c r="I564" t="s">
        <v>3495</v>
      </c>
      <c r="J564">
        <v>10034</v>
      </c>
      <c r="K564" t="s">
        <v>3522</v>
      </c>
      <c r="L564" t="s">
        <v>3525</v>
      </c>
      <c r="N564" t="s">
        <v>3554</v>
      </c>
      <c r="O564" t="s">
        <v>4132</v>
      </c>
      <c r="Q564" t="s">
        <v>4147</v>
      </c>
      <c r="R564" t="s">
        <v>3523</v>
      </c>
      <c r="T564" t="s">
        <v>4156</v>
      </c>
      <c r="V564" t="s">
        <v>325</v>
      </c>
      <c r="W564">
        <v>1100</v>
      </c>
      <c r="X564" t="s">
        <v>4196</v>
      </c>
      <c r="Y564" t="s">
        <v>4205</v>
      </c>
      <c r="Z564" t="s">
        <v>4712</v>
      </c>
      <c r="AA564" t="s">
        <v>5584</v>
      </c>
      <c r="AB564" t="s">
        <v>6077</v>
      </c>
      <c r="AC564">
        <v>100</v>
      </c>
      <c r="AD564" t="s">
        <v>6772</v>
      </c>
      <c r="AE564" t="s">
        <v>6786</v>
      </c>
      <c r="AF564">
        <v>27</v>
      </c>
      <c r="AG564">
        <v>1</v>
      </c>
      <c r="AH564">
        <v>0</v>
      </c>
      <c r="AI564">
        <v>81.67</v>
      </c>
      <c r="AL564" t="s">
        <v>6801</v>
      </c>
      <c r="AM564">
        <v>10200</v>
      </c>
    </row>
    <row r="565" spans="1:44">
      <c r="A565" s="1">
        <f>HYPERLINK("https://lsnyc.legalserver.org/matter/dynamic-profile/view/1906773","19-1906773")</f>
        <v>0</v>
      </c>
      <c r="B565" t="s">
        <v>93</v>
      </c>
      <c r="C565" t="s">
        <v>235</v>
      </c>
      <c r="D565" t="s">
        <v>235</v>
      </c>
      <c r="E565" t="s">
        <v>698</v>
      </c>
      <c r="F565" t="s">
        <v>1644</v>
      </c>
      <c r="G565" t="s">
        <v>2598</v>
      </c>
      <c r="H565" t="s">
        <v>3189</v>
      </c>
      <c r="I565" t="s">
        <v>3495</v>
      </c>
      <c r="J565">
        <v>10033</v>
      </c>
      <c r="K565" t="s">
        <v>3522</v>
      </c>
      <c r="L565" t="s">
        <v>3525</v>
      </c>
      <c r="M565" t="s">
        <v>3785</v>
      </c>
      <c r="N565" t="s">
        <v>4113</v>
      </c>
      <c r="O565" t="s">
        <v>4132</v>
      </c>
      <c r="P565" t="s">
        <v>4139</v>
      </c>
      <c r="Q565" t="s">
        <v>4147</v>
      </c>
      <c r="R565" t="s">
        <v>3523</v>
      </c>
      <c r="T565" t="s">
        <v>4156</v>
      </c>
      <c r="V565" t="s">
        <v>235</v>
      </c>
      <c r="W565">
        <v>474.35</v>
      </c>
      <c r="X565" t="s">
        <v>4196</v>
      </c>
      <c r="Y565" t="s">
        <v>4205</v>
      </c>
      <c r="Z565" t="s">
        <v>4713</v>
      </c>
      <c r="AB565" t="s">
        <v>6078</v>
      </c>
      <c r="AC565">
        <v>54</v>
      </c>
      <c r="AD565" t="s">
        <v>6772</v>
      </c>
      <c r="AE565" t="s">
        <v>6791</v>
      </c>
      <c r="AF565">
        <v>24</v>
      </c>
      <c r="AG565">
        <v>1</v>
      </c>
      <c r="AH565">
        <v>0</v>
      </c>
      <c r="AI565">
        <v>81.67</v>
      </c>
      <c r="AL565" t="s">
        <v>6802</v>
      </c>
      <c r="AM565">
        <v>10200</v>
      </c>
    </row>
    <row r="566" spans="1:44">
      <c r="A566" s="1">
        <f>HYPERLINK("https://lsnyc.legalserver.org/matter/dynamic-profile/view/1903827","19-1903827")</f>
        <v>0</v>
      </c>
      <c r="B566" t="s">
        <v>84</v>
      </c>
      <c r="C566" t="s">
        <v>259</v>
      </c>
      <c r="D566" t="s">
        <v>222</v>
      </c>
      <c r="E566" t="s">
        <v>784</v>
      </c>
      <c r="F566" t="s">
        <v>1645</v>
      </c>
      <c r="G566" t="s">
        <v>2599</v>
      </c>
      <c r="H566" t="s">
        <v>3207</v>
      </c>
      <c r="I566" t="s">
        <v>3494</v>
      </c>
      <c r="J566">
        <v>10301</v>
      </c>
      <c r="K566" t="s">
        <v>3522</v>
      </c>
      <c r="L566" t="s">
        <v>3525</v>
      </c>
      <c r="M566" t="s">
        <v>3786</v>
      </c>
      <c r="N566" t="s">
        <v>4109</v>
      </c>
      <c r="O566" t="s">
        <v>4134</v>
      </c>
      <c r="P566" t="s">
        <v>4140</v>
      </c>
      <c r="Q566" t="s">
        <v>4147</v>
      </c>
      <c r="R566" t="s">
        <v>3523</v>
      </c>
      <c r="T566" t="s">
        <v>4156</v>
      </c>
      <c r="U566" t="s">
        <v>4168</v>
      </c>
      <c r="V566" t="s">
        <v>259</v>
      </c>
      <c r="W566">
        <v>1250</v>
      </c>
      <c r="X566" t="s">
        <v>4195</v>
      </c>
      <c r="Y566" t="s">
        <v>4197</v>
      </c>
      <c r="Z566" t="s">
        <v>4714</v>
      </c>
      <c r="AB566" t="s">
        <v>6079</v>
      </c>
      <c r="AC566">
        <v>48</v>
      </c>
      <c r="AD566" t="s">
        <v>6771</v>
      </c>
      <c r="AE566" t="s">
        <v>3526</v>
      </c>
      <c r="AF566">
        <v>4</v>
      </c>
      <c r="AG566">
        <v>2</v>
      </c>
      <c r="AH566">
        <v>2</v>
      </c>
      <c r="AI566">
        <v>81.79000000000001</v>
      </c>
      <c r="AL566" t="s">
        <v>6801</v>
      </c>
      <c r="AM566">
        <v>21060</v>
      </c>
      <c r="AO566" t="s">
        <v>6915</v>
      </c>
      <c r="AP566" t="s">
        <v>6936</v>
      </c>
      <c r="AQ566" t="s">
        <v>6945</v>
      </c>
      <c r="AR566" t="s">
        <v>6984</v>
      </c>
    </row>
    <row r="567" spans="1:44">
      <c r="A567" s="1">
        <f>HYPERLINK("https://lsnyc.legalserver.org/matter/dynamic-profile/view/1911811","19-1911811")</f>
        <v>0</v>
      </c>
      <c r="B567" t="s">
        <v>86</v>
      </c>
      <c r="C567" t="s">
        <v>190</v>
      </c>
      <c r="E567" t="s">
        <v>402</v>
      </c>
      <c r="F567" t="s">
        <v>1646</v>
      </c>
      <c r="G567" t="s">
        <v>2600</v>
      </c>
      <c r="H567" t="s">
        <v>3242</v>
      </c>
      <c r="I567" t="s">
        <v>3495</v>
      </c>
      <c r="J567">
        <v>10040</v>
      </c>
      <c r="K567" t="s">
        <v>3522</v>
      </c>
      <c r="L567" t="s">
        <v>3525</v>
      </c>
      <c r="O567" t="s">
        <v>4136</v>
      </c>
      <c r="Q567" t="s">
        <v>4147</v>
      </c>
      <c r="R567" t="s">
        <v>3523</v>
      </c>
      <c r="T567" t="s">
        <v>4156</v>
      </c>
      <c r="V567" t="s">
        <v>190</v>
      </c>
      <c r="W567">
        <v>177</v>
      </c>
      <c r="X567" t="s">
        <v>4196</v>
      </c>
      <c r="Y567" t="s">
        <v>4201</v>
      </c>
      <c r="Z567" t="s">
        <v>4715</v>
      </c>
      <c r="AB567" t="s">
        <v>6080</v>
      </c>
      <c r="AC567">
        <v>26</v>
      </c>
      <c r="AD567" t="s">
        <v>6772</v>
      </c>
      <c r="AE567" t="s">
        <v>6786</v>
      </c>
      <c r="AF567">
        <v>47</v>
      </c>
      <c r="AG567">
        <v>1</v>
      </c>
      <c r="AH567">
        <v>0</v>
      </c>
      <c r="AI567">
        <v>81.95</v>
      </c>
      <c r="AL567" t="s">
        <v>6802</v>
      </c>
      <c r="AM567">
        <v>10236</v>
      </c>
    </row>
    <row r="568" spans="1:44">
      <c r="A568" s="1">
        <f>HYPERLINK("https://lsnyc.legalserver.org/matter/dynamic-profile/view/1909825","19-1909825")</f>
        <v>0</v>
      </c>
      <c r="B568" t="s">
        <v>87</v>
      </c>
      <c r="C568" t="s">
        <v>252</v>
      </c>
      <c r="D568" t="s">
        <v>214</v>
      </c>
      <c r="E568" t="s">
        <v>785</v>
      </c>
      <c r="F568" t="s">
        <v>1647</v>
      </c>
      <c r="G568" t="s">
        <v>2601</v>
      </c>
      <c r="I568" t="s">
        <v>3495</v>
      </c>
      <c r="J568">
        <v>10033</v>
      </c>
      <c r="K568" t="s">
        <v>3522</v>
      </c>
      <c r="L568" t="s">
        <v>3525</v>
      </c>
      <c r="N568" t="s">
        <v>3554</v>
      </c>
      <c r="O568" t="s">
        <v>4132</v>
      </c>
      <c r="P568" t="s">
        <v>4139</v>
      </c>
      <c r="Q568" t="s">
        <v>4147</v>
      </c>
      <c r="R568" t="s">
        <v>3523</v>
      </c>
      <c r="T568" t="s">
        <v>4156</v>
      </c>
      <c r="V568" t="s">
        <v>252</v>
      </c>
      <c r="W568">
        <v>1069.67</v>
      </c>
      <c r="X568" t="s">
        <v>4196</v>
      </c>
      <c r="Y568" t="s">
        <v>4205</v>
      </c>
      <c r="Z568" t="s">
        <v>4716</v>
      </c>
      <c r="AB568" t="s">
        <v>6081</v>
      </c>
      <c r="AC568">
        <v>19</v>
      </c>
      <c r="AD568" t="s">
        <v>6772</v>
      </c>
      <c r="AE568" t="s">
        <v>6791</v>
      </c>
      <c r="AF568">
        <v>36</v>
      </c>
      <c r="AG568">
        <v>2</v>
      </c>
      <c r="AH568">
        <v>0</v>
      </c>
      <c r="AI568">
        <v>82.03</v>
      </c>
      <c r="AL568" t="s">
        <v>6802</v>
      </c>
      <c r="AM568">
        <v>13872</v>
      </c>
    </row>
    <row r="569" spans="1:44">
      <c r="A569" s="1">
        <f>HYPERLINK("https://lsnyc.legalserver.org/matter/dynamic-profile/view/1913533","19-1913533")</f>
        <v>0</v>
      </c>
      <c r="B569" t="s">
        <v>78</v>
      </c>
      <c r="C569" t="s">
        <v>265</v>
      </c>
      <c r="D569" t="s">
        <v>243</v>
      </c>
      <c r="E569" t="s">
        <v>786</v>
      </c>
      <c r="F569" t="s">
        <v>1281</v>
      </c>
      <c r="G569" t="s">
        <v>2602</v>
      </c>
      <c r="H569" t="s">
        <v>3140</v>
      </c>
      <c r="I569" t="s">
        <v>3493</v>
      </c>
      <c r="J569">
        <v>10459</v>
      </c>
      <c r="K569" t="s">
        <v>3522</v>
      </c>
      <c r="L569" t="s">
        <v>3525</v>
      </c>
      <c r="O569" t="s">
        <v>4135</v>
      </c>
      <c r="P569" t="s">
        <v>4142</v>
      </c>
      <c r="Q569" t="s">
        <v>4147</v>
      </c>
      <c r="R569" t="s">
        <v>3523</v>
      </c>
      <c r="T569" t="s">
        <v>4156</v>
      </c>
      <c r="V569" t="s">
        <v>199</v>
      </c>
      <c r="W569">
        <v>165</v>
      </c>
      <c r="X569" t="s">
        <v>4194</v>
      </c>
      <c r="Y569" t="s">
        <v>4211</v>
      </c>
      <c r="Z569" t="s">
        <v>4717</v>
      </c>
      <c r="AB569" t="s">
        <v>6082</v>
      </c>
      <c r="AC569">
        <v>64</v>
      </c>
      <c r="AD569" t="s">
        <v>6778</v>
      </c>
      <c r="AF569">
        <v>12</v>
      </c>
      <c r="AG569">
        <v>1</v>
      </c>
      <c r="AH569">
        <v>1</v>
      </c>
      <c r="AI569">
        <v>82.25</v>
      </c>
      <c r="AL569" t="s">
        <v>6801</v>
      </c>
      <c r="AM569">
        <v>13908</v>
      </c>
    </row>
    <row r="570" spans="1:44">
      <c r="A570" s="1">
        <f>HYPERLINK("https://lsnyc.legalserver.org/matter/dynamic-profile/view/1887657","19-1887657")</f>
        <v>0</v>
      </c>
      <c r="B570" t="s">
        <v>55</v>
      </c>
      <c r="C570" t="s">
        <v>326</v>
      </c>
      <c r="E570" t="s">
        <v>437</v>
      </c>
      <c r="F570" t="s">
        <v>1559</v>
      </c>
      <c r="G570" t="s">
        <v>2603</v>
      </c>
      <c r="H570" t="s">
        <v>3312</v>
      </c>
      <c r="I570" t="s">
        <v>3490</v>
      </c>
      <c r="J570">
        <v>11207</v>
      </c>
      <c r="K570" t="s">
        <v>3522</v>
      </c>
      <c r="L570" t="s">
        <v>3527</v>
      </c>
      <c r="M570" t="s">
        <v>3787</v>
      </c>
      <c r="N570" t="s">
        <v>4109</v>
      </c>
      <c r="O570" t="s">
        <v>4134</v>
      </c>
      <c r="Q570" t="s">
        <v>4147</v>
      </c>
      <c r="R570" t="s">
        <v>3523</v>
      </c>
      <c r="T570" t="s">
        <v>4156</v>
      </c>
      <c r="U570" t="s">
        <v>4169</v>
      </c>
      <c r="V570" t="s">
        <v>188</v>
      </c>
      <c r="W570">
        <v>1200</v>
      </c>
      <c r="X570" t="s">
        <v>4193</v>
      </c>
      <c r="Y570" t="s">
        <v>4197</v>
      </c>
      <c r="Z570" t="s">
        <v>4718</v>
      </c>
      <c r="AA570" t="s">
        <v>5585</v>
      </c>
      <c r="AB570" t="s">
        <v>6083</v>
      </c>
      <c r="AC570">
        <v>2</v>
      </c>
      <c r="AD570" t="s">
        <v>6771</v>
      </c>
      <c r="AE570" t="s">
        <v>6792</v>
      </c>
      <c r="AF570">
        <v>4</v>
      </c>
      <c r="AG570">
        <v>1</v>
      </c>
      <c r="AH570">
        <v>0</v>
      </c>
      <c r="AI570">
        <v>82.34</v>
      </c>
      <c r="AL570" t="s">
        <v>6801</v>
      </c>
      <c r="AM570">
        <v>9996</v>
      </c>
      <c r="AN570" t="s">
        <v>6853</v>
      </c>
    </row>
    <row r="571" spans="1:44">
      <c r="A571" s="1">
        <f>HYPERLINK("https://lsnyc.legalserver.org/matter/dynamic-profile/view/1910583","19-1910583")</f>
        <v>0</v>
      </c>
      <c r="B571" t="s">
        <v>94</v>
      </c>
      <c r="C571" t="s">
        <v>177</v>
      </c>
      <c r="E571" t="s">
        <v>787</v>
      </c>
      <c r="F571" t="s">
        <v>1648</v>
      </c>
      <c r="G571" t="s">
        <v>2604</v>
      </c>
      <c r="H571" t="s">
        <v>3266</v>
      </c>
      <c r="I571" t="s">
        <v>3495</v>
      </c>
      <c r="J571">
        <v>10029</v>
      </c>
      <c r="K571" t="s">
        <v>3522</v>
      </c>
      <c r="L571" t="s">
        <v>3525</v>
      </c>
      <c r="N571" t="s">
        <v>3554</v>
      </c>
      <c r="O571" t="s">
        <v>4135</v>
      </c>
      <c r="Q571" t="s">
        <v>4147</v>
      </c>
      <c r="R571" t="s">
        <v>3523</v>
      </c>
      <c r="T571" t="s">
        <v>4156</v>
      </c>
      <c r="U571" t="s">
        <v>4168</v>
      </c>
      <c r="V571" t="s">
        <v>341</v>
      </c>
      <c r="W571">
        <v>1414.03</v>
      </c>
      <c r="X571" t="s">
        <v>4196</v>
      </c>
      <c r="Y571" t="s">
        <v>4198</v>
      </c>
      <c r="Z571" t="s">
        <v>4719</v>
      </c>
      <c r="AB571" t="s">
        <v>6084</v>
      </c>
      <c r="AC571">
        <v>14</v>
      </c>
      <c r="AD571" t="s">
        <v>6772</v>
      </c>
      <c r="AE571" t="s">
        <v>6791</v>
      </c>
      <c r="AF571">
        <v>4</v>
      </c>
      <c r="AG571">
        <v>1</v>
      </c>
      <c r="AH571">
        <v>0</v>
      </c>
      <c r="AI571">
        <v>82.34</v>
      </c>
      <c r="AL571" t="s">
        <v>6801</v>
      </c>
      <c r="AM571">
        <v>10284</v>
      </c>
    </row>
    <row r="572" spans="1:44">
      <c r="A572" s="1">
        <f>HYPERLINK("https://lsnyc.legalserver.org/matter/dynamic-profile/view/1908679","19-1908679")</f>
        <v>0</v>
      </c>
      <c r="B572" t="s">
        <v>46</v>
      </c>
      <c r="C572" t="s">
        <v>205</v>
      </c>
      <c r="E572" t="s">
        <v>734</v>
      </c>
      <c r="F572" t="s">
        <v>1649</v>
      </c>
      <c r="G572" t="s">
        <v>2605</v>
      </c>
      <c r="I572" t="s">
        <v>3483</v>
      </c>
      <c r="J572">
        <v>11416</v>
      </c>
      <c r="K572" t="s">
        <v>3522</v>
      </c>
      <c r="L572" t="s">
        <v>3525</v>
      </c>
      <c r="N572" t="s">
        <v>3554</v>
      </c>
      <c r="O572" t="s">
        <v>4132</v>
      </c>
      <c r="Q572" t="s">
        <v>4148</v>
      </c>
      <c r="R572" t="s">
        <v>3523</v>
      </c>
      <c r="T572" t="s">
        <v>4156</v>
      </c>
      <c r="U572" t="s">
        <v>4168</v>
      </c>
      <c r="V572" t="s">
        <v>211</v>
      </c>
      <c r="W572">
        <v>880</v>
      </c>
      <c r="X572" t="s">
        <v>4192</v>
      </c>
      <c r="Y572" t="s">
        <v>4199</v>
      </c>
      <c r="Z572" t="s">
        <v>4720</v>
      </c>
      <c r="AB572" t="s">
        <v>6085</v>
      </c>
      <c r="AC572">
        <v>1</v>
      </c>
      <c r="AD572" t="s">
        <v>6771</v>
      </c>
      <c r="AE572" t="s">
        <v>3526</v>
      </c>
      <c r="AF572">
        <v>20</v>
      </c>
      <c r="AG572">
        <v>3</v>
      </c>
      <c r="AH572">
        <v>0</v>
      </c>
      <c r="AI572">
        <v>82.36</v>
      </c>
      <c r="AJ572" t="s">
        <v>6795</v>
      </c>
      <c r="AK572" t="s">
        <v>6798</v>
      </c>
      <c r="AL572" t="s">
        <v>6801</v>
      </c>
      <c r="AM572">
        <v>17568</v>
      </c>
    </row>
    <row r="573" spans="1:44">
      <c r="A573" s="1">
        <f>HYPERLINK("https://lsnyc.legalserver.org/matter/dynamic-profile/view/1911594","19-1911594")</f>
        <v>0</v>
      </c>
      <c r="B573" t="s">
        <v>57</v>
      </c>
      <c r="C573" t="s">
        <v>291</v>
      </c>
      <c r="E573" t="s">
        <v>515</v>
      </c>
      <c r="F573" t="s">
        <v>1650</v>
      </c>
      <c r="G573" t="s">
        <v>2606</v>
      </c>
      <c r="H573" t="s">
        <v>3313</v>
      </c>
      <c r="I573" t="s">
        <v>3490</v>
      </c>
      <c r="J573">
        <v>11239</v>
      </c>
      <c r="K573" t="s">
        <v>3522</v>
      </c>
      <c r="L573" t="s">
        <v>3525</v>
      </c>
      <c r="M573" t="s">
        <v>3788</v>
      </c>
      <c r="N573" t="s">
        <v>3554</v>
      </c>
      <c r="O573" t="s">
        <v>4133</v>
      </c>
      <c r="Q573" t="s">
        <v>4147</v>
      </c>
      <c r="R573" t="s">
        <v>3523</v>
      </c>
      <c r="T573" t="s">
        <v>4156</v>
      </c>
      <c r="U573" t="s">
        <v>4168</v>
      </c>
      <c r="V573" t="s">
        <v>251</v>
      </c>
      <c r="W573">
        <v>2400</v>
      </c>
      <c r="X573" t="s">
        <v>4193</v>
      </c>
      <c r="Y573" t="s">
        <v>4201</v>
      </c>
      <c r="Z573" t="s">
        <v>4721</v>
      </c>
      <c r="AA573" t="s">
        <v>5586</v>
      </c>
      <c r="AB573" t="s">
        <v>6086</v>
      </c>
      <c r="AC573">
        <v>84</v>
      </c>
      <c r="AD573" t="s">
        <v>6774</v>
      </c>
      <c r="AE573" t="s">
        <v>6789</v>
      </c>
      <c r="AF573">
        <v>1</v>
      </c>
      <c r="AG573">
        <v>1</v>
      </c>
      <c r="AH573">
        <v>0</v>
      </c>
      <c r="AI573">
        <v>82.43000000000001</v>
      </c>
      <c r="AL573" t="s">
        <v>6801</v>
      </c>
      <c r="AM573">
        <v>10296</v>
      </c>
    </row>
    <row r="574" spans="1:44">
      <c r="A574" s="1">
        <f>HYPERLINK("https://lsnyc.legalserver.org/matter/dynamic-profile/view/1906451","19-1906451")</f>
        <v>0</v>
      </c>
      <c r="B574" t="s">
        <v>76</v>
      </c>
      <c r="C574" t="s">
        <v>241</v>
      </c>
      <c r="D574" t="s">
        <v>373</v>
      </c>
      <c r="E574" t="s">
        <v>788</v>
      </c>
      <c r="F574" t="s">
        <v>1651</v>
      </c>
      <c r="G574" t="s">
        <v>2607</v>
      </c>
      <c r="I574" t="s">
        <v>3493</v>
      </c>
      <c r="J574">
        <v>10472</v>
      </c>
      <c r="K574" t="s">
        <v>3522</v>
      </c>
      <c r="L574" t="s">
        <v>3525</v>
      </c>
      <c r="N574" t="s">
        <v>3554</v>
      </c>
      <c r="O574" t="s">
        <v>4135</v>
      </c>
      <c r="P574" t="s">
        <v>4142</v>
      </c>
      <c r="Q574" t="s">
        <v>4147</v>
      </c>
      <c r="R574" t="s">
        <v>3523</v>
      </c>
      <c r="T574" t="s">
        <v>4159</v>
      </c>
      <c r="V574" t="s">
        <v>185</v>
      </c>
      <c r="W574">
        <v>475</v>
      </c>
      <c r="X574" t="s">
        <v>4194</v>
      </c>
      <c r="Y574" t="s">
        <v>4198</v>
      </c>
      <c r="Z574" t="s">
        <v>4722</v>
      </c>
      <c r="AB574" t="s">
        <v>6087</v>
      </c>
      <c r="AC574">
        <v>0</v>
      </c>
      <c r="AD574" t="s">
        <v>6772</v>
      </c>
      <c r="AF574">
        <v>3</v>
      </c>
      <c r="AG574">
        <v>1</v>
      </c>
      <c r="AH574">
        <v>0</v>
      </c>
      <c r="AI574">
        <v>82.43000000000001</v>
      </c>
      <c r="AL574" t="s">
        <v>6801</v>
      </c>
      <c r="AM574">
        <v>10296</v>
      </c>
    </row>
    <row r="575" spans="1:44">
      <c r="A575" s="1">
        <f>HYPERLINK("https://lsnyc.legalserver.org/matter/dynamic-profile/view/1907341","19-1907341")</f>
        <v>0</v>
      </c>
      <c r="B575" t="s">
        <v>96</v>
      </c>
      <c r="C575" t="s">
        <v>210</v>
      </c>
      <c r="E575" t="s">
        <v>789</v>
      </c>
      <c r="F575" t="s">
        <v>1652</v>
      </c>
      <c r="G575" t="s">
        <v>2608</v>
      </c>
      <c r="H575">
        <v>1205</v>
      </c>
      <c r="I575" t="s">
        <v>3493</v>
      </c>
      <c r="J575">
        <v>10456</v>
      </c>
      <c r="K575" t="s">
        <v>3522</v>
      </c>
      <c r="L575" t="s">
        <v>3525</v>
      </c>
      <c r="N575" t="s">
        <v>4115</v>
      </c>
      <c r="O575" t="s">
        <v>4134</v>
      </c>
      <c r="Q575" t="s">
        <v>4147</v>
      </c>
      <c r="R575" t="s">
        <v>3522</v>
      </c>
      <c r="T575" t="s">
        <v>4156</v>
      </c>
      <c r="V575" t="s">
        <v>219</v>
      </c>
      <c r="W575">
        <v>257.4</v>
      </c>
      <c r="X575" t="s">
        <v>4194</v>
      </c>
      <c r="Y575" t="s">
        <v>4200</v>
      </c>
      <c r="Z575" t="s">
        <v>4723</v>
      </c>
      <c r="AB575" t="s">
        <v>6088</v>
      </c>
      <c r="AC575">
        <v>154</v>
      </c>
      <c r="AD575" t="s">
        <v>5524</v>
      </c>
      <c r="AE575" t="s">
        <v>6787</v>
      </c>
      <c r="AF575">
        <v>-1</v>
      </c>
      <c r="AG575">
        <v>1</v>
      </c>
      <c r="AH575">
        <v>0</v>
      </c>
      <c r="AI575">
        <v>82.43000000000001</v>
      </c>
      <c r="AL575" t="s">
        <v>6801</v>
      </c>
      <c r="AM575">
        <v>10296</v>
      </c>
    </row>
    <row r="576" spans="1:44">
      <c r="A576" s="1">
        <f>HYPERLINK("https://lsnyc.legalserver.org/matter/dynamic-profile/view/1917426","19-1917426")</f>
        <v>0</v>
      </c>
      <c r="B576" t="s">
        <v>85</v>
      </c>
      <c r="C576" t="s">
        <v>327</v>
      </c>
      <c r="E576" t="s">
        <v>790</v>
      </c>
      <c r="F576" t="s">
        <v>1653</v>
      </c>
      <c r="G576" t="s">
        <v>2609</v>
      </c>
      <c r="H576" t="s">
        <v>3314</v>
      </c>
      <c r="I576" t="s">
        <v>3494</v>
      </c>
      <c r="J576">
        <v>10304</v>
      </c>
      <c r="K576" t="s">
        <v>3522</v>
      </c>
      <c r="L576" t="s">
        <v>3525</v>
      </c>
      <c r="M576" t="s">
        <v>3789</v>
      </c>
      <c r="N576" t="s">
        <v>4108</v>
      </c>
      <c r="Q576" t="s">
        <v>4147</v>
      </c>
      <c r="R576" t="s">
        <v>3522</v>
      </c>
      <c r="T576" t="s">
        <v>4161</v>
      </c>
      <c r="V576" t="s">
        <v>332</v>
      </c>
      <c r="W576">
        <v>0</v>
      </c>
      <c r="X576" t="s">
        <v>4195</v>
      </c>
      <c r="Y576" t="s">
        <v>4198</v>
      </c>
      <c r="Z576" t="s">
        <v>4724</v>
      </c>
      <c r="AB576" t="s">
        <v>6089</v>
      </c>
      <c r="AC576">
        <v>0</v>
      </c>
      <c r="AF576">
        <v>15</v>
      </c>
      <c r="AG576">
        <v>1</v>
      </c>
      <c r="AH576">
        <v>0</v>
      </c>
      <c r="AI576">
        <v>82.43000000000001</v>
      </c>
      <c r="AL576" t="s">
        <v>6801</v>
      </c>
      <c r="AM576">
        <v>10296</v>
      </c>
    </row>
    <row r="577" spans="1:44">
      <c r="A577" s="1">
        <f>HYPERLINK("https://lsnyc.legalserver.org/matter/dynamic-profile/view/1913103","19-1913103")</f>
        <v>0</v>
      </c>
      <c r="B577" t="s">
        <v>89</v>
      </c>
      <c r="C577" t="s">
        <v>186</v>
      </c>
      <c r="D577" t="s">
        <v>243</v>
      </c>
      <c r="E577" t="s">
        <v>429</v>
      </c>
      <c r="F577" t="s">
        <v>1654</v>
      </c>
      <c r="G577" t="s">
        <v>2610</v>
      </c>
      <c r="H577" t="s">
        <v>3315</v>
      </c>
      <c r="I577" t="s">
        <v>3495</v>
      </c>
      <c r="J577">
        <v>10034</v>
      </c>
      <c r="K577" t="s">
        <v>3522</v>
      </c>
      <c r="L577" t="s">
        <v>3525</v>
      </c>
      <c r="O577" t="s">
        <v>4132</v>
      </c>
      <c r="P577" t="s">
        <v>4139</v>
      </c>
      <c r="Q577" t="s">
        <v>4147</v>
      </c>
      <c r="R577" t="s">
        <v>3523</v>
      </c>
      <c r="T577" t="s">
        <v>4156</v>
      </c>
      <c r="V577" t="s">
        <v>186</v>
      </c>
      <c r="W577">
        <v>236</v>
      </c>
      <c r="X577" t="s">
        <v>4196</v>
      </c>
      <c r="Y577" t="s">
        <v>4201</v>
      </c>
      <c r="Z577" t="s">
        <v>4725</v>
      </c>
      <c r="AC577">
        <v>1167</v>
      </c>
      <c r="AD577" t="s">
        <v>6772</v>
      </c>
      <c r="AE577" t="s">
        <v>6786</v>
      </c>
      <c r="AF577">
        <v>14</v>
      </c>
      <c r="AG577">
        <v>1</v>
      </c>
      <c r="AH577">
        <v>0</v>
      </c>
      <c r="AI577">
        <v>82.43000000000001</v>
      </c>
      <c r="AL577" t="s">
        <v>6801</v>
      </c>
      <c r="AM577">
        <v>10296</v>
      </c>
    </row>
    <row r="578" spans="1:44">
      <c r="A578" s="1">
        <f>HYPERLINK("https://lsnyc.legalserver.org/matter/dynamic-profile/view/1910486","19-1910486")</f>
        <v>0</v>
      </c>
      <c r="B578" t="s">
        <v>123</v>
      </c>
      <c r="C578" t="s">
        <v>214</v>
      </c>
      <c r="D578" t="s">
        <v>214</v>
      </c>
      <c r="E578" t="s">
        <v>642</v>
      </c>
      <c r="F578" t="s">
        <v>448</v>
      </c>
      <c r="G578" t="s">
        <v>2611</v>
      </c>
      <c r="H578" t="s">
        <v>3316</v>
      </c>
      <c r="I578" t="s">
        <v>3495</v>
      </c>
      <c r="J578">
        <v>10032</v>
      </c>
      <c r="K578" t="s">
        <v>3522</v>
      </c>
      <c r="L578" t="s">
        <v>3525</v>
      </c>
      <c r="N578" t="s">
        <v>3554</v>
      </c>
      <c r="O578" t="s">
        <v>4135</v>
      </c>
      <c r="P578" t="s">
        <v>4142</v>
      </c>
      <c r="Q578" t="s">
        <v>4147</v>
      </c>
      <c r="R578" t="s">
        <v>3523</v>
      </c>
      <c r="T578" t="s">
        <v>4156</v>
      </c>
      <c r="V578" t="s">
        <v>214</v>
      </c>
      <c r="W578">
        <v>1132</v>
      </c>
      <c r="X578" t="s">
        <v>4196</v>
      </c>
      <c r="Y578" t="s">
        <v>4201</v>
      </c>
      <c r="Z578" t="s">
        <v>4726</v>
      </c>
      <c r="AB578" t="s">
        <v>6090</v>
      </c>
      <c r="AC578">
        <v>14</v>
      </c>
      <c r="AD578" t="s">
        <v>6772</v>
      </c>
      <c r="AE578" t="s">
        <v>6791</v>
      </c>
      <c r="AF578">
        <v>16</v>
      </c>
      <c r="AG578">
        <v>1</v>
      </c>
      <c r="AH578">
        <v>0</v>
      </c>
      <c r="AI578">
        <v>82.43000000000001</v>
      </c>
      <c r="AL578" t="s">
        <v>6801</v>
      </c>
      <c r="AM578">
        <v>10296</v>
      </c>
    </row>
    <row r="579" spans="1:44">
      <c r="A579" s="1">
        <f>HYPERLINK("https://lsnyc.legalserver.org/matter/dynamic-profile/view/1911980","19-1911980")</f>
        <v>0</v>
      </c>
      <c r="B579" t="s">
        <v>94</v>
      </c>
      <c r="C579" t="s">
        <v>251</v>
      </c>
      <c r="E579" t="s">
        <v>791</v>
      </c>
      <c r="F579" t="s">
        <v>1655</v>
      </c>
      <c r="G579" t="s">
        <v>2612</v>
      </c>
      <c r="H579" t="s">
        <v>3317</v>
      </c>
      <c r="I579" t="s">
        <v>3495</v>
      </c>
      <c r="J579">
        <v>10037</v>
      </c>
      <c r="K579" t="s">
        <v>3522</v>
      </c>
      <c r="L579" t="s">
        <v>3525</v>
      </c>
      <c r="M579" t="s">
        <v>3790</v>
      </c>
      <c r="N579" t="s">
        <v>4109</v>
      </c>
      <c r="O579" t="s">
        <v>4132</v>
      </c>
      <c r="Q579" t="s">
        <v>4147</v>
      </c>
      <c r="R579" t="s">
        <v>3523</v>
      </c>
      <c r="T579" t="s">
        <v>4156</v>
      </c>
      <c r="U579" t="s">
        <v>4168</v>
      </c>
      <c r="V579" t="s">
        <v>270</v>
      </c>
      <c r="W579">
        <v>2100</v>
      </c>
      <c r="X579" t="s">
        <v>4196</v>
      </c>
      <c r="Y579" t="s">
        <v>4198</v>
      </c>
      <c r="Z579" t="s">
        <v>4727</v>
      </c>
      <c r="AA579" t="s">
        <v>5587</v>
      </c>
      <c r="AB579" t="s">
        <v>6091</v>
      </c>
      <c r="AC579">
        <v>259</v>
      </c>
      <c r="AD579" t="s">
        <v>6772</v>
      </c>
      <c r="AE579" t="s">
        <v>3526</v>
      </c>
      <c r="AF579">
        <v>1</v>
      </c>
      <c r="AG579">
        <v>1</v>
      </c>
      <c r="AH579">
        <v>0</v>
      </c>
      <c r="AI579">
        <v>82.63</v>
      </c>
      <c r="AL579" t="s">
        <v>6801</v>
      </c>
      <c r="AM579">
        <v>10320</v>
      </c>
    </row>
    <row r="580" spans="1:44">
      <c r="A580" s="1">
        <f>HYPERLINK("https://lsnyc.legalserver.org/matter/dynamic-profile/view/1884815","18-1884815")</f>
        <v>0</v>
      </c>
      <c r="B580" t="s">
        <v>155</v>
      </c>
      <c r="C580" t="s">
        <v>328</v>
      </c>
      <c r="D580" t="s">
        <v>269</v>
      </c>
      <c r="E580" t="s">
        <v>792</v>
      </c>
      <c r="F580" t="s">
        <v>1656</v>
      </c>
      <c r="G580" t="s">
        <v>2613</v>
      </c>
      <c r="H580" t="s">
        <v>3152</v>
      </c>
      <c r="I580" t="s">
        <v>3490</v>
      </c>
      <c r="J580">
        <v>11207</v>
      </c>
      <c r="K580" t="s">
        <v>3522</v>
      </c>
      <c r="L580" t="s">
        <v>3525</v>
      </c>
      <c r="M580" t="s">
        <v>3791</v>
      </c>
      <c r="N580" t="s">
        <v>4107</v>
      </c>
      <c r="O580" t="s">
        <v>4134</v>
      </c>
      <c r="P580" t="s">
        <v>4144</v>
      </c>
      <c r="Q580" t="s">
        <v>4147</v>
      </c>
      <c r="T580" t="s">
        <v>4156</v>
      </c>
      <c r="V580" t="s">
        <v>209</v>
      </c>
      <c r="W580">
        <v>1200</v>
      </c>
      <c r="X580" t="s">
        <v>4193</v>
      </c>
      <c r="Y580" t="s">
        <v>4210</v>
      </c>
      <c r="Z580" t="s">
        <v>4728</v>
      </c>
      <c r="AB580" t="s">
        <v>6092</v>
      </c>
      <c r="AC580">
        <v>3</v>
      </c>
      <c r="AE580" t="s">
        <v>6787</v>
      </c>
      <c r="AF580">
        <v>4</v>
      </c>
      <c r="AG580">
        <v>1</v>
      </c>
      <c r="AH580">
        <v>0</v>
      </c>
      <c r="AI580">
        <v>82.73</v>
      </c>
      <c r="AL580" t="s">
        <v>6801</v>
      </c>
      <c r="AM580">
        <v>10044</v>
      </c>
      <c r="AO580" t="s">
        <v>6922</v>
      </c>
      <c r="AQ580" t="s">
        <v>6946</v>
      </c>
      <c r="AR580" t="s">
        <v>6971</v>
      </c>
    </row>
    <row r="581" spans="1:44">
      <c r="A581" s="1">
        <f>HYPERLINK("https://lsnyc.legalserver.org/matter/dynamic-profile/view/1908375","19-1908375")</f>
        <v>0</v>
      </c>
      <c r="B581" t="s">
        <v>47</v>
      </c>
      <c r="C581" t="s">
        <v>303</v>
      </c>
      <c r="E581" t="s">
        <v>793</v>
      </c>
      <c r="F581" t="s">
        <v>1516</v>
      </c>
      <c r="G581" t="s">
        <v>2614</v>
      </c>
      <c r="H581" t="s">
        <v>3318</v>
      </c>
      <c r="I581" t="s">
        <v>3486</v>
      </c>
      <c r="J581">
        <v>11377</v>
      </c>
      <c r="K581" t="s">
        <v>3522</v>
      </c>
      <c r="L581" t="s">
        <v>3525</v>
      </c>
      <c r="M581" t="s">
        <v>3792</v>
      </c>
      <c r="N581" t="s">
        <v>4110</v>
      </c>
      <c r="O581" t="s">
        <v>4137</v>
      </c>
      <c r="Q581" t="s">
        <v>4147</v>
      </c>
      <c r="R581" t="s">
        <v>3522</v>
      </c>
      <c r="T581" t="s">
        <v>4156</v>
      </c>
      <c r="U581" t="s">
        <v>4168</v>
      </c>
      <c r="V581" t="s">
        <v>303</v>
      </c>
      <c r="W581">
        <v>1382</v>
      </c>
      <c r="X581" t="s">
        <v>4192</v>
      </c>
      <c r="Y581" t="s">
        <v>4197</v>
      </c>
      <c r="Z581" t="s">
        <v>4729</v>
      </c>
      <c r="AB581" t="s">
        <v>6093</v>
      </c>
      <c r="AC581">
        <v>67</v>
      </c>
      <c r="AD581" t="s">
        <v>6772</v>
      </c>
      <c r="AE581" t="s">
        <v>3526</v>
      </c>
      <c r="AF581">
        <v>19</v>
      </c>
      <c r="AG581">
        <v>2</v>
      </c>
      <c r="AH581">
        <v>0</v>
      </c>
      <c r="AI581">
        <v>82.79000000000001</v>
      </c>
      <c r="AL581" t="s">
        <v>6802</v>
      </c>
      <c r="AM581">
        <v>14000</v>
      </c>
      <c r="AP581" t="s">
        <v>4200</v>
      </c>
    </row>
    <row r="582" spans="1:44">
      <c r="A582" s="1">
        <f>HYPERLINK("https://lsnyc.legalserver.org/matter/dynamic-profile/view/1908385","19-1908385")</f>
        <v>0</v>
      </c>
      <c r="B582" t="s">
        <v>47</v>
      </c>
      <c r="C582" t="s">
        <v>303</v>
      </c>
      <c r="E582" t="s">
        <v>793</v>
      </c>
      <c r="F582" t="s">
        <v>1516</v>
      </c>
      <c r="G582" t="s">
        <v>2614</v>
      </c>
      <c r="H582" t="s">
        <v>3318</v>
      </c>
      <c r="I582" t="s">
        <v>3486</v>
      </c>
      <c r="J582">
        <v>11377</v>
      </c>
      <c r="K582" t="s">
        <v>3522</v>
      </c>
      <c r="L582" t="s">
        <v>3525</v>
      </c>
      <c r="M582" t="s">
        <v>3793</v>
      </c>
      <c r="N582" t="s">
        <v>4110</v>
      </c>
      <c r="O582" t="s">
        <v>4137</v>
      </c>
      <c r="Q582" t="s">
        <v>4147</v>
      </c>
      <c r="R582" t="s">
        <v>3522</v>
      </c>
      <c r="T582" t="s">
        <v>4156</v>
      </c>
      <c r="V582" t="s">
        <v>4183</v>
      </c>
      <c r="W582">
        <v>1382</v>
      </c>
      <c r="X582" t="s">
        <v>4192</v>
      </c>
      <c r="Y582" t="s">
        <v>4206</v>
      </c>
      <c r="Z582" t="s">
        <v>4729</v>
      </c>
      <c r="AB582" t="s">
        <v>6093</v>
      </c>
      <c r="AC582">
        <v>67</v>
      </c>
      <c r="AD582" t="s">
        <v>6772</v>
      </c>
      <c r="AE582" t="s">
        <v>3526</v>
      </c>
      <c r="AF582">
        <v>19</v>
      </c>
      <c r="AG582">
        <v>2</v>
      </c>
      <c r="AH582">
        <v>0</v>
      </c>
      <c r="AI582">
        <v>82.79000000000001</v>
      </c>
      <c r="AL582" t="s">
        <v>6802</v>
      </c>
      <c r="AM582">
        <v>14000</v>
      </c>
    </row>
    <row r="583" spans="1:44">
      <c r="A583" s="1">
        <f>HYPERLINK("https://lsnyc.legalserver.org/matter/dynamic-profile/view/1916382","19-1916382")</f>
        <v>0</v>
      </c>
      <c r="B583" t="s">
        <v>89</v>
      </c>
      <c r="C583" t="s">
        <v>223</v>
      </c>
      <c r="E583" t="s">
        <v>794</v>
      </c>
      <c r="F583" t="s">
        <v>1657</v>
      </c>
      <c r="G583" t="s">
        <v>2431</v>
      </c>
      <c r="H583">
        <v>23</v>
      </c>
      <c r="I583" t="s">
        <v>3495</v>
      </c>
      <c r="J583">
        <v>10033</v>
      </c>
      <c r="K583" t="s">
        <v>3522</v>
      </c>
      <c r="L583" t="s">
        <v>3525</v>
      </c>
      <c r="N583" t="s">
        <v>4108</v>
      </c>
      <c r="O583" t="s">
        <v>4134</v>
      </c>
      <c r="Q583" t="s">
        <v>4147</v>
      </c>
      <c r="R583" t="s">
        <v>3522</v>
      </c>
      <c r="T583" t="s">
        <v>4156</v>
      </c>
      <c r="V583" t="s">
        <v>223</v>
      </c>
      <c r="W583">
        <v>1250</v>
      </c>
      <c r="X583" t="s">
        <v>4196</v>
      </c>
      <c r="Y583" t="s">
        <v>4205</v>
      </c>
      <c r="Z583" t="s">
        <v>4730</v>
      </c>
      <c r="AC583">
        <v>20</v>
      </c>
      <c r="AD583" t="s">
        <v>6772</v>
      </c>
      <c r="AE583" t="s">
        <v>3526</v>
      </c>
      <c r="AF583">
        <v>28</v>
      </c>
      <c r="AG583">
        <v>5</v>
      </c>
      <c r="AH583">
        <v>0</v>
      </c>
      <c r="AI583">
        <v>82.86</v>
      </c>
      <c r="AL583" t="s">
        <v>6802</v>
      </c>
      <c r="AM583">
        <v>25000</v>
      </c>
    </row>
    <row r="584" spans="1:44">
      <c r="A584" s="1">
        <f>HYPERLINK("https://lsnyc.legalserver.org/matter/dynamic-profile/view/1907812","19-1907812")</f>
        <v>0</v>
      </c>
      <c r="B584" t="s">
        <v>57</v>
      </c>
      <c r="C584" t="s">
        <v>298</v>
      </c>
      <c r="D584" t="s">
        <v>314</v>
      </c>
      <c r="E584" t="s">
        <v>795</v>
      </c>
      <c r="F584" t="s">
        <v>1519</v>
      </c>
      <c r="G584" t="s">
        <v>2615</v>
      </c>
      <c r="H584">
        <v>426</v>
      </c>
      <c r="I584" t="s">
        <v>3490</v>
      </c>
      <c r="J584">
        <v>11208</v>
      </c>
      <c r="K584" t="s">
        <v>3522</v>
      </c>
      <c r="L584" t="s">
        <v>3525</v>
      </c>
      <c r="M584" t="s">
        <v>3794</v>
      </c>
      <c r="N584" t="s">
        <v>4109</v>
      </c>
      <c r="O584" t="s">
        <v>4133</v>
      </c>
      <c r="P584" t="s">
        <v>4142</v>
      </c>
      <c r="Q584" t="s">
        <v>4147</v>
      </c>
      <c r="R584" t="s">
        <v>3523</v>
      </c>
      <c r="T584" t="s">
        <v>4158</v>
      </c>
      <c r="U584" t="s">
        <v>4170</v>
      </c>
      <c r="V584" t="s">
        <v>222</v>
      </c>
      <c r="W584">
        <v>208</v>
      </c>
      <c r="X584" t="s">
        <v>4193</v>
      </c>
      <c r="Y584" t="s">
        <v>4210</v>
      </c>
      <c r="Z584" t="s">
        <v>4731</v>
      </c>
      <c r="AA584" t="s">
        <v>3562</v>
      </c>
      <c r="AB584" t="s">
        <v>6094</v>
      </c>
      <c r="AC584">
        <v>40</v>
      </c>
      <c r="AD584" t="s">
        <v>6778</v>
      </c>
      <c r="AE584" t="s">
        <v>6786</v>
      </c>
      <c r="AF584">
        <v>11</v>
      </c>
      <c r="AG584">
        <v>1</v>
      </c>
      <c r="AH584">
        <v>0</v>
      </c>
      <c r="AI584">
        <v>83.2</v>
      </c>
      <c r="AL584" t="s">
        <v>6801</v>
      </c>
      <c r="AM584">
        <v>10392</v>
      </c>
      <c r="AN584" t="s">
        <v>6854</v>
      </c>
    </row>
    <row r="585" spans="1:44">
      <c r="A585" s="1">
        <f>HYPERLINK("https://lsnyc.legalserver.org/matter/dynamic-profile/view/1910678","19-1910678")</f>
        <v>0</v>
      </c>
      <c r="B585" t="s">
        <v>55</v>
      </c>
      <c r="C585" t="s">
        <v>177</v>
      </c>
      <c r="D585" t="s">
        <v>237</v>
      </c>
      <c r="E585" t="s">
        <v>796</v>
      </c>
      <c r="F585" t="s">
        <v>1658</v>
      </c>
      <c r="G585" t="s">
        <v>2616</v>
      </c>
      <c r="I585" t="s">
        <v>3490</v>
      </c>
      <c r="J585">
        <v>11207</v>
      </c>
      <c r="K585" t="s">
        <v>3522</v>
      </c>
      <c r="L585" t="s">
        <v>3525</v>
      </c>
      <c r="M585" t="s">
        <v>3554</v>
      </c>
      <c r="N585" t="s">
        <v>4116</v>
      </c>
      <c r="O585" t="s">
        <v>4132</v>
      </c>
      <c r="P585" t="s">
        <v>4139</v>
      </c>
      <c r="Q585" t="s">
        <v>4147</v>
      </c>
      <c r="R585" t="s">
        <v>3523</v>
      </c>
      <c r="T585" t="s">
        <v>4156</v>
      </c>
      <c r="V585" t="s">
        <v>177</v>
      </c>
      <c r="W585">
        <v>680</v>
      </c>
      <c r="X585" t="s">
        <v>4193</v>
      </c>
      <c r="Y585" t="s">
        <v>4201</v>
      </c>
      <c r="Z585" t="s">
        <v>4732</v>
      </c>
      <c r="AA585" t="s">
        <v>5588</v>
      </c>
      <c r="AB585" t="s">
        <v>6095</v>
      </c>
      <c r="AC585">
        <v>3</v>
      </c>
      <c r="AD585" t="s">
        <v>5524</v>
      </c>
      <c r="AE585" t="s">
        <v>6791</v>
      </c>
      <c r="AF585">
        <v>34</v>
      </c>
      <c r="AG585">
        <v>1</v>
      </c>
      <c r="AH585">
        <v>0</v>
      </c>
      <c r="AI585">
        <v>83.23</v>
      </c>
      <c r="AL585" t="s">
        <v>6802</v>
      </c>
      <c r="AM585">
        <v>10396</v>
      </c>
    </row>
    <row r="586" spans="1:44">
      <c r="A586" s="1">
        <f>HYPERLINK("https://lsnyc.legalserver.org/matter/dynamic-profile/view/1916218","19-1916218")</f>
        <v>0</v>
      </c>
      <c r="B586" t="s">
        <v>53</v>
      </c>
      <c r="C586" t="s">
        <v>208</v>
      </c>
      <c r="E586" t="s">
        <v>797</v>
      </c>
      <c r="F586" t="s">
        <v>1659</v>
      </c>
      <c r="G586" t="s">
        <v>2187</v>
      </c>
      <c r="H586" t="s">
        <v>3319</v>
      </c>
      <c r="I586" t="s">
        <v>3490</v>
      </c>
      <c r="J586">
        <v>11238</v>
      </c>
      <c r="K586" t="s">
        <v>3522</v>
      </c>
      <c r="L586" t="s">
        <v>3525</v>
      </c>
      <c r="N586" t="s">
        <v>4109</v>
      </c>
      <c r="O586" t="s">
        <v>4134</v>
      </c>
      <c r="Q586" t="s">
        <v>4147</v>
      </c>
      <c r="R586" t="s">
        <v>3523</v>
      </c>
      <c r="T586" t="s">
        <v>4156</v>
      </c>
      <c r="V586" t="s">
        <v>240</v>
      </c>
      <c r="W586">
        <v>918</v>
      </c>
      <c r="X586" t="s">
        <v>4193</v>
      </c>
      <c r="Z586" t="s">
        <v>4733</v>
      </c>
      <c r="AB586" t="s">
        <v>6096</v>
      </c>
      <c r="AC586">
        <v>38</v>
      </c>
      <c r="AF586">
        <v>20</v>
      </c>
      <c r="AG586">
        <v>1</v>
      </c>
      <c r="AH586">
        <v>0</v>
      </c>
      <c r="AI586">
        <v>83.27</v>
      </c>
      <c r="AL586" t="s">
        <v>6801</v>
      </c>
      <c r="AM586">
        <v>10400</v>
      </c>
    </row>
    <row r="587" spans="1:44">
      <c r="A587" s="1">
        <f>HYPERLINK("https://lsnyc.legalserver.org/matter/dynamic-profile/view/1910407","19-1910407")</f>
        <v>0</v>
      </c>
      <c r="B587" t="s">
        <v>102</v>
      </c>
      <c r="C587" t="s">
        <v>214</v>
      </c>
      <c r="E587" t="s">
        <v>414</v>
      </c>
      <c r="F587" t="s">
        <v>1486</v>
      </c>
      <c r="G587" t="s">
        <v>2617</v>
      </c>
      <c r="H587" t="s">
        <v>3263</v>
      </c>
      <c r="I587" t="s">
        <v>3493</v>
      </c>
      <c r="J587">
        <v>10452</v>
      </c>
      <c r="K587" t="s">
        <v>3522</v>
      </c>
      <c r="L587" t="s">
        <v>3525</v>
      </c>
      <c r="M587" t="s">
        <v>3795</v>
      </c>
      <c r="N587" t="s">
        <v>4107</v>
      </c>
      <c r="O587" t="s">
        <v>4134</v>
      </c>
      <c r="Q587" t="s">
        <v>4147</v>
      </c>
      <c r="R587" t="s">
        <v>3523</v>
      </c>
      <c r="T587" t="s">
        <v>4156</v>
      </c>
      <c r="U587" t="s">
        <v>4168</v>
      </c>
      <c r="V587" t="s">
        <v>219</v>
      </c>
      <c r="W587">
        <v>518</v>
      </c>
      <c r="X587" t="s">
        <v>4194</v>
      </c>
      <c r="Y587" t="s">
        <v>4210</v>
      </c>
      <c r="Z587" t="s">
        <v>4734</v>
      </c>
      <c r="AB587" t="s">
        <v>6097</v>
      </c>
      <c r="AC587">
        <v>40</v>
      </c>
      <c r="AD587" t="s">
        <v>6772</v>
      </c>
      <c r="AF587">
        <v>25</v>
      </c>
      <c r="AG587">
        <v>1</v>
      </c>
      <c r="AH587">
        <v>0</v>
      </c>
      <c r="AI587">
        <v>83.27</v>
      </c>
      <c r="AL587" t="s">
        <v>6802</v>
      </c>
      <c r="AM587">
        <v>10400</v>
      </c>
    </row>
    <row r="588" spans="1:44">
      <c r="A588" s="1">
        <f>HYPERLINK("https://lsnyc.legalserver.org/matter/dynamic-profile/view/1909340","19-1909340")</f>
        <v>0</v>
      </c>
      <c r="B588" t="s">
        <v>90</v>
      </c>
      <c r="C588" t="s">
        <v>197</v>
      </c>
      <c r="E588" t="s">
        <v>798</v>
      </c>
      <c r="F588" t="s">
        <v>1660</v>
      </c>
      <c r="G588" t="s">
        <v>2618</v>
      </c>
      <c r="H588" t="s">
        <v>3320</v>
      </c>
      <c r="I588" t="s">
        <v>3495</v>
      </c>
      <c r="J588">
        <v>10033</v>
      </c>
      <c r="K588" t="s">
        <v>3522</v>
      </c>
      <c r="L588" t="s">
        <v>3525</v>
      </c>
      <c r="O588" t="s">
        <v>4136</v>
      </c>
      <c r="Q588" t="s">
        <v>4147</v>
      </c>
      <c r="R588" t="s">
        <v>3523</v>
      </c>
      <c r="T588" t="s">
        <v>4156</v>
      </c>
      <c r="V588" t="s">
        <v>197</v>
      </c>
      <c r="W588">
        <v>1235</v>
      </c>
      <c r="X588" t="s">
        <v>4196</v>
      </c>
      <c r="Y588" t="s">
        <v>4205</v>
      </c>
      <c r="Z588" t="s">
        <v>4735</v>
      </c>
      <c r="AB588" t="s">
        <v>6098</v>
      </c>
      <c r="AC588">
        <v>0</v>
      </c>
      <c r="AD588" t="s">
        <v>6772</v>
      </c>
      <c r="AE588" t="s">
        <v>3526</v>
      </c>
      <c r="AF588">
        <v>18</v>
      </c>
      <c r="AG588">
        <v>1</v>
      </c>
      <c r="AH588">
        <v>0</v>
      </c>
      <c r="AI588">
        <v>83.27</v>
      </c>
      <c r="AL588" t="s">
        <v>6802</v>
      </c>
      <c r="AM588">
        <v>10400</v>
      </c>
    </row>
    <row r="589" spans="1:44">
      <c r="A589" s="1">
        <f>HYPERLINK("https://lsnyc.legalserver.org/matter/dynamic-profile/view/1905950","19-1905950")</f>
        <v>0</v>
      </c>
      <c r="B589" t="s">
        <v>132</v>
      </c>
      <c r="C589" t="s">
        <v>285</v>
      </c>
      <c r="D589" t="s">
        <v>257</v>
      </c>
      <c r="E589" t="s">
        <v>799</v>
      </c>
      <c r="F589" t="s">
        <v>1661</v>
      </c>
      <c r="G589" t="s">
        <v>2619</v>
      </c>
      <c r="H589" t="s">
        <v>3149</v>
      </c>
      <c r="I589" t="s">
        <v>3495</v>
      </c>
      <c r="J589">
        <v>10035</v>
      </c>
      <c r="K589" t="s">
        <v>3522</v>
      </c>
      <c r="L589" t="s">
        <v>3527</v>
      </c>
      <c r="M589" t="s">
        <v>3796</v>
      </c>
      <c r="N589" t="s">
        <v>4109</v>
      </c>
      <c r="O589" t="s">
        <v>4132</v>
      </c>
      <c r="P589" t="s">
        <v>4139</v>
      </c>
      <c r="Q589" t="s">
        <v>4147</v>
      </c>
      <c r="R589" t="s">
        <v>3523</v>
      </c>
      <c r="T589" t="s">
        <v>4156</v>
      </c>
      <c r="U589" t="s">
        <v>4169</v>
      </c>
      <c r="V589" t="s">
        <v>285</v>
      </c>
      <c r="W589">
        <v>1587</v>
      </c>
      <c r="X589" t="s">
        <v>4196</v>
      </c>
      <c r="Y589" t="s">
        <v>4203</v>
      </c>
      <c r="Z589" t="s">
        <v>4736</v>
      </c>
      <c r="AA589" t="s">
        <v>5589</v>
      </c>
      <c r="AB589" t="s">
        <v>6099</v>
      </c>
      <c r="AC589">
        <v>24</v>
      </c>
      <c r="AD589" t="s">
        <v>6778</v>
      </c>
      <c r="AE589" t="s">
        <v>3526</v>
      </c>
      <c r="AF589">
        <v>5</v>
      </c>
      <c r="AG589">
        <v>1</v>
      </c>
      <c r="AH589">
        <v>0</v>
      </c>
      <c r="AI589">
        <v>83.39</v>
      </c>
      <c r="AL589" t="s">
        <v>6801</v>
      </c>
      <c r="AM589">
        <v>10416</v>
      </c>
    </row>
    <row r="590" spans="1:44">
      <c r="A590" s="1">
        <f>HYPERLINK("https://lsnyc.legalserver.org/matter/dynamic-profile/view/1907707","19-1907707")</f>
        <v>0</v>
      </c>
      <c r="B590" t="s">
        <v>47</v>
      </c>
      <c r="C590" t="s">
        <v>284</v>
      </c>
      <c r="E590" t="s">
        <v>402</v>
      </c>
      <c r="F590" t="s">
        <v>1373</v>
      </c>
      <c r="G590" t="s">
        <v>2620</v>
      </c>
      <c r="H590" t="s">
        <v>3135</v>
      </c>
      <c r="I590" t="s">
        <v>3486</v>
      </c>
      <c r="J590">
        <v>11377</v>
      </c>
      <c r="K590" t="s">
        <v>3522</v>
      </c>
      <c r="L590" t="s">
        <v>3525</v>
      </c>
      <c r="N590" t="s">
        <v>4110</v>
      </c>
      <c r="O590" t="s">
        <v>4137</v>
      </c>
      <c r="Q590" t="s">
        <v>4147</v>
      </c>
      <c r="R590" t="s">
        <v>3522</v>
      </c>
      <c r="T590" t="s">
        <v>4156</v>
      </c>
      <c r="U590" t="s">
        <v>4168</v>
      </c>
      <c r="V590" t="s">
        <v>284</v>
      </c>
      <c r="W590">
        <v>1102</v>
      </c>
      <c r="X590" t="s">
        <v>4192</v>
      </c>
      <c r="Y590" t="s">
        <v>4206</v>
      </c>
      <c r="Z590" t="s">
        <v>4737</v>
      </c>
      <c r="AB590" t="s">
        <v>6100</v>
      </c>
      <c r="AC590">
        <v>234</v>
      </c>
      <c r="AD590" t="s">
        <v>5524</v>
      </c>
      <c r="AE590" t="s">
        <v>6786</v>
      </c>
      <c r="AF590">
        <v>40</v>
      </c>
      <c r="AG590">
        <v>2</v>
      </c>
      <c r="AH590">
        <v>0</v>
      </c>
      <c r="AI590">
        <v>83.52</v>
      </c>
      <c r="AL590" t="s">
        <v>6802</v>
      </c>
      <c r="AM590">
        <v>14124</v>
      </c>
      <c r="AP590" t="s">
        <v>4200</v>
      </c>
    </row>
    <row r="591" spans="1:44">
      <c r="A591" s="1">
        <f>HYPERLINK("https://lsnyc.legalserver.org/matter/dynamic-profile/view/1914861","19-1914861")</f>
        <v>0</v>
      </c>
      <c r="B591" t="s">
        <v>94</v>
      </c>
      <c r="C591" t="s">
        <v>301</v>
      </c>
      <c r="E591" t="s">
        <v>482</v>
      </c>
      <c r="F591" t="s">
        <v>1360</v>
      </c>
      <c r="G591" t="s">
        <v>2261</v>
      </c>
      <c r="H591" t="s">
        <v>3178</v>
      </c>
      <c r="I591" t="s">
        <v>3495</v>
      </c>
      <c r="J591">
        <v>10035</v>
      </c>
      <c r="K591" t="s">
        <v>3522</v>
      </c>
      <c r="L591" t="s">
        <v>3525</v>
      </c>
      <c r="N591" t="s">
        <v>4108</v>
      </c>
      <c r="O591" t="s">
        <v>4134</v>
      </c>
      <c r="Q591" t="s">
        <v>4147</v>
      </c>
      <c r="R591" t="s">
        <v>3522</v>
      </c>
      <c r="T591" t="s">
        <v>4156</v>
      </c>
      <c r="U591" t="s">
        <v>4168</v>
      </c>
      <c r="V591" t="s">
        <v>267</v>
      </c>
      <c r="W591">
        <v>1483.36</v>
      </c>
      <c r="X591" t="s">
        <v>4196</v>
      </c>
      <c r="Y591" t="s">
        <v>4201</v>
      </c>
      <c r="Z591" t="s">
        <v>4317</v>
      </c>
      <c r="AB591" t="s">
        <v>5725</v>
      </c>
      <c r="AC591">
        <v>30</v>
      </c>
      <c r="AD591" t="s">
        <v>6772</v>
      </c>
      <c r="AE591" t="s">
        <v>6786</v>
      </c>
      <c r="AF591">
        <v>16</v>
      </c>
      <c r="AG591">
        <v>1</v>
      </c>
      <c r="AH591">
        <v>0</v>
      </c>
      <c r="AI591">
        <v>83.68000000000001</v>
      </c>
      <c r="AL591" t="s">
        <v>6801</v>
      </c>
      <c r="AM591">
        <v>10452</v>
      </c>
    </row>
    <row r="592" spans="1:44">
      <c r="A592" s="1">
        <f>HYPERLINK("https://lsnyc.legalserver.org/matter/dynamic-profile/view/1904277","19-1904277")</f>
        <v>0</v>
      </c>
      <c r="B592" t="s">
        <v>104</v>
      </c>
      <c r="C592" t="s">
        <v>179</v>
      </c>
      <c r="D592" t="s">
        <v>324</v>
      </c>
      <c r="E592" t="s">
        <v>800</v>
      </c>
      <c r="F592" t="s">
        <v>1454</v>
      </c>
      <c r="G592" t="s">
        <v>2621</v>
      </c>
      <c r="H592" t="s">
        <v>3207</v>
      </c>
      <c r="I592" t="s">
        <v>3493</v>
      </c>
      <c r="J592">
        <v>10460</v>
      </c>
      <c r="K592" t="s">
        <v>3522</v>
      </c>
      <c r="L592" t="s">
        <v>3525</v>
      </c>
      <c r="M592" t="s">
        <v>3797</v>
      </c>
      <c r="N592" t="s">
        <v>4109</v>
      </c>
      <c r="O592" t="s">
        <v>4135</v>
      </c>
      <c r="P592" t="s">
        <v>4142</v>
      </c>
      <c r="Q592" t="s">
        <v>4147</v>
      </c>
      <c r="R592" t="s">
        <v>3523</v>
      </c>
      <c r="T592" t="s">
        <v>4156</v>
      </c>
      <c r="V592" t="s">
        <v>293</v>
      </c>
      <c r="W592">
        <v>1723.03</v>
      </c>
      <c r="X592" t="s">
        <v>4194</v>
      </c>
      <c r="Y592" t="s">
        <v>4201</v>
      </c>
      <c r="Z592" t="s">
        <v>4738</v>
      </c>
      <c r="AB592" t="s">
        <v>6101</v>
      </c>
      <c r="AC592">
        <v>200</v>
      </c>
      <c r="AD592" t="s">
        <v>6781</v>
      </c>
      <c r="AE592" t="s">
        <v>6786</v>
      </c>
      <c r="AF592">
        <v>3</v>
      </c>
      <c r="AG592">
        <v>2</v>
      </c>
      <c r="AH592">
        <v>0</v>
      </c>
      <c r="AI592">
        <v>83.73999999999999</v>
      </c>
      <c r="AL592" t="s">
        <v>6801</v>
      </c>
      <c r="AM592">
        <v>14160</v>
      </c>
    </row>
    <row r="593" spans="1:44">
      <c r="A593" s="1">
        <f>HYPERLINK("https://lsnyc.legalserver.org/matter/dynamic-profile/view/1903921","19-1903921")</f>
        <v>0</v>
      </c>
      <c r="B593" t="s">
        <v>122</v>
      </c>
      <c r="C593" t="s">
        <v>259</v>
      </c>
      <c r="E593" t="s">
        <v>801</v>
      </c>
      <c r="F593" t="s">
        <v>1662</v>
      </c>
      <c r="G593" t="s">
        <v>2622</v>
      </c>
      <c r="H593" t="s">
        <v>3159</v>
      </c>
      <c r="I593" t="s">
        <v>3483</v>
      </c>
      <c r="J593">
        <v>11416</v>
      </c>
      <c r="K593" t="s">
        <v>3522</v>
      </c>
      <c r="L593" t="s">
        <v>3525</v>
      </c>
      <c r="M593" t="s">
        <v>3798</v>
      </c>
      <c r="N593" t="s">
        <v>4107</v>
      </c>
      <c r="O593" t="s">
        <v>4132</v>
      </c>
      <c r="Q593" t="s">
        <v>4147</v>
      </c>
      <c r="R593" t="s">
        <v>3523</v>
      </c>
      <c r="T593" t="s">
        <v>4156</v>
      </c>
      <c r="U593" t="s">
        <v>4168</v>
      </c>
      <c r="V593" t="s">
        <v>279</v>
      </c>
      <c r="W593">
        <v>2110</v>
      </c>
      <c r="X593" t="s">
        <v>4192</v>
      </c>
      <c r="Y593" t="s">
        <v>4197</v>
      </c>
      <c r="Z593" t="s">
        <v>4739</v>
      </c>
      <c r="AA593" t="s">
        <v>5590</v>
      </c>
      <c r="AB593" t="s">
        <v>6102</v>
      </c>
      <c r="AC593">
        <v>3</v>
      </c>
      <c r="AD593" t="s">
        <v>6771</v>
      </c>
      <c r="AE593" t="s">
        <v>6786</v>
      </c>
      <c r="AF593">
        <v>2</v>
      </c>
      <c r="AG593">
        <v>1</v>
      </c>
      <c r="AH593">
        <v>3</v>
      </c>
      <c r="AI593">
        <v>84.01000000000001</v>
      </c>
      <c r="AL593" t="s">
        <v>6801</v>
      </c>
      <c r="AM593">
        <v>21632</v>
      </c>
    </row>
    <row r="594" spans="1:44">
      <c r="A594" s="1">
        <f>HYPERLINK("https://lsnyc.legalserver.org/matter/dynamic-profile/view/1914473","19-1914473")</f>
        <v>0</v>
      </c>
      <c r="B594" t="s">
        <v>124</v>
      </c>
      <c r="C594" t="s">
        <v>289</v>
      </c>
      <c r="E594" t="s">
        <v>802</v>
      </c>
      <c r="F594" t="s">
        <v>1402</v>
      </c>
      <c r="G594" t="s">
        <v>2623</v>
      </c>
      <c r="H594" t="s">
        <v>3158</v>
      </c>
      <c r="I594" t="s">
        <v>3493</v>
      </c>
      <c r="J594">
        <v>10473</v>
      </c>
      <c r="K594" t="s">
        <v>3522</v>
      </c>
      <c r="L594" t="s">
        <v>3525</v>
      </c>
      <c r="N594" t="s">
        <v>3554</v>
      </c>
      <c r="O594" t="s">
        <v>4132</v>
      </c>
      <c r="Q594" t="s">
        <v>4147</v>
      </c>
      <c r="R594" t="s">
        <v>3523</v>
      </c>
      <c r="T594" t="s">
        <v>4156</v>
      </c>
      <c r="V594" t="s">
        <v>269</v>
      </c>
      <c r="W594">
        <v>0</v>
      </c>
      <c r="X594" t="s">
        <v>4194</v>
      </c>
      <c r="Z594" t="s">
        <v>4740</v>
      </c>
      <c r="AB594" t="s">
        <v>6103</v>
      </c>
      <c r="AC594">
        <v>0</v>
      </c>
      <c r="AF594">
        <v>0</v>
      </c>
      <c r="AG594">
        <v>1</v>
      </c>
      <c r="AH594">
        <v>0</v>
      </c>
      <c r="AI594">
        <v>84.36</v>
      </c>
      <c r="AL594" t="s">
        <v>6801</v>
      </c>
      <c r="AM594">
        <v>10536</v>
      </c>
    </row>
    <row r="595" spans="1:44">
      <c r="A595" s="1">
        <f>HYPERLINK("https://lsnyc.legalserver.org/matter/dynamic-profile/view/1904423","19-1904423")</f>
        <v>0</v>
      </c>
      <c r="B595" t="s">
        <v>120</v>
      </c>
      <c r="C595" t="s">
        <v>272</v>
      </c>
      <c r="E595" t="s">
        <v>803</v>
      </c>
      <c r="F595" t="s">
        <v>1388</v>
      </c>
      <c r="G595" t="s">
        <v>2439</v>
      </c>
      <c r="H595">
        <v>513</v>
      </c>
      <c r="I595" t="s">
        <v>3494</v>
      </c>
      <c r="J595">
        <v>10304</v>
      </c>
      <c r="K595" t="s">
        <v>3522</v>
      </c>
      <c r="L595" t="s">
        <v>3525</v>
      </c>
      <c r="M595" t="s">
        <v>3799</v>
      </c>
      <c r="N595" t="s">
        <v>4109</v>
      </c>
      <c r="O595" t="s">
        <v>4134</v>
      </c>
      <c r="Q595" t="s">
        <v>4147</v>
      </c>
      <c r="R595" t="s">
        <v>3523</v>
      </c>
      <c r="T595" t="s">
        <v>4156</v>
      </c>
      <c r="U595" t="s">
        <v>4168</v>
      </c>
      <c r="V595" t="s">
        <v>272</v>
      </c>
      <c r="W595">
        <v>1202.3</v>
      </c>
      <c r="X595" t="s">
        <v>4195</v>
      </c>
      <c r="Y595" t="s">
        <v>4202</v>
      </c>
      <c r="Z595" t="s">
        <v>4741</v>
      </c>
      <c r="AB595" t="s">
        <v>6104</v>
      </c>
      <c r="AC595">
        <v>105</v>
      </c>
      <c r="AD595" t="s">
        <v>6772</v>
      </c>
      <c r="AE595" t="s">
        <v>6790</v>
      </c>
      <c r="AF595">
        <v>8</v>
      </c>
      <c r="AG595">
        <v>1</v>
      </c>
      <c r="AH595">
        <v>0</v>
      </c>
      <c r="AI595">
        <v>84.36</v>
      </c>
      <c r="AL595" t="s">
        <v>6801</v>
      </c>
      <c r="AM595">
        <v>10536</v>
      </c>
    </row>
    <row r="596" spans="1:44">
      <c r="A596" s="1">
        <f>HYPERLINK("https://lsnyc.legalserver.org/matter/dynamic-profile/view/1907747","19-1907747")</f>
        <v>0</v>
      </c>
      <c r="B596" t="s">
        <v>69</v>
      </c>
      <c r="C596" t="s">
        <v>222</v>
      </c>
      <c r="E596" t="s">
        <v>570</v>
      </c>
      <c r="F596" t="s">
        <v>1404</v>
      </c>
      <c r="G596" t="s">
        <v>2624</v>
      </c>
      <c r="H596" t="s">
        <v>3321</v>
      </c>
      <c r="I596" t="s">
        <v>3490</v>
      </c>
      <c r="J596">
        <v>11219</v>
      </c>
      <c r="K596" t="s">
        <v>3522</v>
      </c>
      <c r="L596" t="s">
        <v>3525</v>
      </c>
      <c r="M596" t="s">
        <v>3800</v>
      </c>
      <c r="N596" t="s">
        <v>4109</v>
      </c>
      <c r="O596" t="s">
        <v>4134</v>
      </c>
      <c r="Q596" t="s">
        <v>4147</v>
      </c>
      <c r="R596" t="s">
        <v>3523</v>
      </c>
      <c r="T596" t="s">
        <v>4156</v>
      </c>
      <c r="U596" t="s">
        <v>4168</v>
      </c>
      <c r="V596" t="s">
        <v>239</v>
      </c>
      <c r="W596">
        <v>900</v>
      </c>
      <c r="X596" t="s">
        <v>4193</v>
      </c>
      <c r="Y596" t="s">
        <v>4201</v>
      </c>
      <c r="Z596" t="s">
        <v>4742</v>
      </c>
      <c r="AB596" t="s">
        <v>6105</v>
      </c>
      <c r="AC596">
        <v>6</v>
      </c>
      <c r="AD596" t="s">
        <v>6772</v>
      </c>
      <c r="AE596" t="s">
        <v>3526</v>
      </c>
      <c r="AF596">
        <v>10</v>
      </c>
      <c r="AG596">
        <v>3</v>
      </c>
      <c r="AH596">
        <v>0</v>
      </c>
      <c r="AI596">
        <v>84.39</v>
      </c>
      <c r="AL596" t="s">
        <v>6802</v>
      </c>
      <c r="AM596">
        <v>18000</v>
      </c>
    </row>
    <row r="597" spans="1:44">
      <c r="A597" s="1">
        <f>HYPERLINK("https://lsnyc.legalserver.org/matter/dynamic-profile/view/1909838","19-1909838")</f>
        <v>0</v>
      </c>
      <c r="B597" t="s">
        <v>87</v>
      </c>
      <c r="C597" t="s">
        <v>252</v>
      </c>
      <c r="E597" t="s">
        <v>423</v>
      </c>
      <c r="F597" t="s">
        <v>1663</v>
      </c>
      <c r="G597" t="s">
        <v>2625</v>
      </c>
      <c r="I597" t="s">
        <v>3495</v>
      </c>
      <c r="J597">
        <v>10034</v>
      </c>
      <c r="K597" t="s">
        <v>3522</v>
      </c>
      <c r="L597" t="s">
        <v>3525</v>
      </c>
      <c r="O597" t="s">
        <v>4137</v>
      </c>
      <c r="Q597" t="s">
        <v>4147</v>
      </c>
      <c r="R597" t="s">
        <v>3523</v>
      </c>
      <c r="S597" t="s">
        <v>4152</v>
      </c>
      <c r="T597" t="s">
        <v>4156</v>
      </c>
      <c r="V597" t="s">
        <v>252</v>
      </c>
      <c r="W597">
        <v>1700</v>
      </c>
      <c r="X597" t="s">
        <v>4196</v>
      </c>
      <c r="Y597" t="s">
        <v>4204</v>
      </c>
      <c r="Z597" t="s">
        <v>4743</v>
      </c>
      <c r="AB597" t="s">
        <v>6106</v>
      </c>
      <c r="AC597">
        <v>24</v>
      </c>
      <c r="AD597" t="s">
        <v>6772</v>
      </c>
      <c r="AE597" t="s">
        <v>6790</v>
      </c>
      <c r="AF597">
        <v>1</v>
      </c>
      <c r="AG597">
        <v>1</v>
      </c>
      <c r="AH597">
        <v>0</v>
      </c>
      <c r="AI597">
        <v>84.64</v>
      </c>
      <c r="AL597" t="s">
        <v>6801</v>
      </c>
      <c r="AM597">
        <v>10572</v>
      </c>
    </row>
    <row r="598" spans="1:44">
      <c r="A598" s="1">
        <f>HYPERLINK("https://lsnyc.legalserver.org/matter/dynamic-profile/view/1880321","18-1880321")</f>
        <v>0</v>
      </c>
      <c r="B598" t="s">
        <v>134</v>
      </c>
      <c r="C598" t="s">
        <v>329</v>
      </c>
      <c r="D598" t="s">
        <v>193</v>
      </c>
      <c r="E598" t="s">
        <v>804</v>
      </c>
      <c r="F598" t="s">
        <v>1615</v>
      </c>
      <c r="G598" t="s">
        <v>2626</v>
      </c>
      <c r="H598" t="s">
        <v>3322</v>
      </c>
      <c r="I598" t="s">
        <v>3490</v>
      </c>
      <c r="J598">
        <v>11208</v>
      </c>
      <c r="K598" t="s">
        <v>3522</v>
      </c>
      <c r="L598" t="s">
        <v>3525</v>
      </c>
      <c r="M598" t="s">
        <v>3801</v>
      </c>
      <c r="N598" t="s">
        <v>4109</v>
      </c>
      <c r="O598" t="s">
        <v>4134</v>
      </c>
      <c r="P598" t="s">
        <v>4140</v>
      </c>
      <c r="Q598" t="s">
        <v>4147</v>
      </c>
      <c r="R598" t="s">
        <v>3523</v>
      </c>
      <c r="T598" t="s">
        <v>4156</v>
      </c>
      <c r="U598" t="s">
        <v>4168</v>
      </c>
      <c r="V598" t="s">
        <v>312</v>
      </c>
      <c r="W598">
        <v>0</v>
      </c>
      <c r="X598" t="s">
        <v>4193</v>
      </c>
      <c r="Y598" t="s">
        <v>4201</v>
      </c>
      <c r="Z598" t="s">
        <v>4744</v>
      </c>
      <c r="AB598" t="s">
        <v>6107</v>
      </c>
      <c r="AC598">
        <v>294</v>
      </c>
      <c r="AD598" t="s">
        <v>6776</v>
      </c>
      <c r="AE598" t="s">
        <v>6790</v>
      </c>
      <c r="AF598">
        <v>5</v>
      </c>
      <c r="AG598">
        <v>1</v>
      </c>
      <c r="AH598">
        <v>0</v>
      </c>
      <c r="AI598">
        <v>84.70999999999999</v>
      </c>
      <c r="AL598" t="s">
        <v>6801</v>
      </c>
      <c r="AM598">
        <v>10284</v>
      </c>
      <c r="AO598" t="s">
        <v>6915</v>
      </c>
      <c r="AP598" t="s">
        <v>6928</v>
      </c>
      <c r="AQ598" t="s">
        <v>6945</v>
      </c>
      <c r="AR598" t="s">
        <v>6985</v>
      </c>
    </row>
    <row r="599" spans="1:44">
      <c r="A599" s="1">
        <f>HYPERLINK("https://lsnyc.legalserver.org/matter/dynamic-profile/view/1908891","19-1908891")</f>
        <v>0</v>
      </c>
      <c r="B599" t="s">
        <v>108</v>
      </c>
      <c r="C599" t="s">
        <v>304</v>
      </c>
      <c r="D599" t="s">
        <v>360</v>
      </c>
      <c r="E599" t="s">
        <v>560</v>
      </c>
      <c r="F599" t="s">
        <v>1664</v>
      </c>
      <c r="G599" t="s">
        <v>2627</v>
      </c>
      <c r="H599" t="s">
        <v>3262</v>
      </c>
      <c r="I599" t="s">
        <v>3488</v>
      </c>
      <c r="J599">
        <v>11367</v>
      </c>
      <c r="K599" t="s">
        <v>3522</v>
      </c>
      <c r="L599" t="s">
        <v>3525</v>
      </c>
      <c r="N599" t="s">
        <v>4108</v>
      </c>
      <c r="O599" t="s">
        <v>4135</v>
      </c>
      <c r="P599" t="s">
        <v>4142</v>
      </c>
      <c r="Q599" t="s">
        <v>4147</v>
      </c>
      <c r="R599" t="s">
        <v>3523</v>
      </c>
      <c r="T599" t="s">
        <v>4156</v>
      </c>
      <c r="U599" t="s">
        <v>4168</v>
      </c>
      <c r="V599" t="s">
        <v>360</v>
      </c>
      <c r="W599">
        <v>1063</v>
      </c>
      <c r="X599" t="s">
        <v>4192</v>
      </c>
      <c r="Y599" t="s">
        <v>4214</v>
      </c>
      <c r="Z599" t="s">
        <v>4745</v>
      </c>
      <c r="AA599" t="s">
        <v>5482</v>
      </c>
      <c r="AB599" t="s">
        <v>6108</v>
      </c>
      <c r="AC599">
        <v>12</v>
      </c>
      <c r="AD599" t="s">
        <v>6780</v>
      </c>
      <c r="AE599" t="s">
        <v>6791</v>
      </c>
      <c r="AF599">
        <v>30</v>
      </c>
      <c r="AG599">
        <v>2</v>
      </c>
      <c r="AH599">
        <v>0</v>
      </c>
      <c r="AI599">
        <v>85.16</v>
      </c>
      <c r="AL599" t="s">
        <v>6802</v>
      </c>
      <c r="AM599">
        <v>14400</v>
      </c>
    </row>
    <row r="600" spans="1:44">
      <c r="A600" s="1">
        <f>HYPERLINK("https://lsnyc.legalserver.org/matter/dynamic-profile/view/1905689","19-1905689")</f>
        <v>0</v>
      </c>
      <c r="B600" t="s">
        <v>52</v>
      </c>
      <c r="C600" t="s">
        <v>284</v>
      </c>
      <c r="E600" t="s">
        <v>805</v>
      </c>
      <c r="F600" t="s">
        <v>1665</v>
      </c>
      <c r="G600" t="s">
        <v>2410</v>
      </c>
      <c r="H600" t="s">
        <v>3189</v>
      </c>
      <c r="I600" t="s">
        <v>3490</v>
      </c>
      <c r="J600">
        <v>11226</v>
      </c>
      <c r="K600" t="s">
        <v>3522</v>
      </c>
      <c r="N600" t="s">
        <v>4110</v>
      </c>
      <c r="O600" t="s">
        <v>4137</v>
      </c>
      <c r="Q600" t="s">
        <v>4147</v>
      </c>
      <c r="R600" t="s">
        <v>3522</v>
      </c>
      <c r="T600" t="s">
        <v>4156</v>
      </c>
      <c r="V600" t="s">
        <v>206</v>
      </c>
      <c r="W600">
        <v>0</v>
      </c>
      <c r="X600" t="s">
        <v>4193</v>
      </c>
      <c r="Z600" t="s">
        <v>4746</v>
      </c>
      <c r="AB600" t="s">
        <v>6109</v>
      </c>
      <c r="AC600">
        <v>36</v>
      </c>
      <c r="AD600" t="s">
        <v>6772</v>
      </c>
      <c r="AF600">
        <v>0</v>
      </c>
      <c r="AG600">
        <v>2</v>
      </c>
      <c r="AH600">
        <v>0</v>
      </c>
      <c r="AI600">
        <v>85.16</v>
      </c>
      <c r="AL600" t="s">
        <v>6801</v>
      </c>
      <c r="AM600">
        <v>14400</v>
      </c>
    </row>
    <row r="601" spans="1:44">
      <c r="A601" s="1">
        <f>HYPERLINK("https://lsnyc.legalserver.org/matter/dynamic-profile/view/1909659","19-1909659")</f>
        <v>0</v>
      </c>
      <c r="B601" t="s">
        <v>120</v>
      </c>
      <c r="C601" t="s">
        <v>252</v>
      </c>
      <c r="E601" t="s">
        <v>806</v>
      </c>
      <c r="F601" t="s">
        <v>1666</v>
      </c>
      <c r="G601" t="s">
        <v>2628</v>
      </c>
      <c r="I601" t="s">
        <v>3494</v>
      </c>
      <c r="J601">
        <v>10301</v>
      </c>
      <c r="K601" t="s">
        <v>3522</v>
      </c>
      <c r="L601" t="s">
        <v>3525</v>
      </c>
      <c r="M601" t="s">
        <v>3802</v>
      </c>
      <c r="O601" t="s">
        <v>4134</v>
      </c>
      <c r="Q601" t="s">
        <v>4147</v>
      </c>
      <c r="R601" t="s">
        <v>3523</v>
      </c>
      <c r="T601" t="s">
        <v>4156</v>
      </c>
      <c r="U601" t="s">
        <v>4168</v>
      </c>
      <c r="V601" t="s">
        <v>252</v>
      </c>
      <c r="W601">
        <v>1200</v>
      </c>
      <c r="X601" t="s">
        <v>4195</v>
      </c>
      <c r="Y601" t="s">
        <v>4209</v>
      </c>
      <c r="Z601" t="s">
        <v>4747</v>
      </c>
      <c r="AB601" t="s">
        <v>6110</v>
      </c>
      <c r="AC601">
        <v>2</v>
      </c>
      <c r="AD601" t="s">
        <v>6771</v>
      </c>
      <c r="AE601" t="s">
        <v>3526</v>
      </c>
      <c r="AF601">
        <v>23</v>
      </c>
      <c r="AG601">
        <v>1</v>
      </c>
      <c r="AH601">
        <v>1</v>
      </c>
      <c r="AI601">
        <v>85.16</v>
      </c>
      <c r="AL601" t="s">
        <v>6801</v>
      </c>
      <c r="AM601">
        <v>14400</v>
      </c>
    </row>
    <row r="602" spans="1:44">
      <c r="A602" s="1">
        <f>HYPERLINK("https://lsnyc.legalserver.org/matter/dynamic-profile/view/1904772","19-1904772")</f>
        <v>0</v>
      </c>
      <c r="B602" t="s">
        <v>78</v>
      </c>
      <c r="C602" t="s">
        <v>296</v>
      </c>
      <c r="D602" t="s">
        <v>373</v>
      </c>
      <c r="E602" t="s">
        <v>602</v>
      </c>
      <c r="F602" t="s">
        <v>1667</v>
      </c>
      <c r="G602" t="s">
        <v>2629</v>
      </c>
      <c r="H602" t="s">
        <v>3179</v>
      </c>
      <c r="I602" t="s">
        <v>3493</v>
      </c>
      <c r="J602">
        <v>10460</v>
      </c>
      <c r="K602" t="s">
        <v>3522</v>
      </c>
      <c r="L602" t="s">
        <v>3525</v>
      </c>
      <c r="M602" t="s">
        <v>3562</v>
      </c>
      <c r="N602" t="s">
        <v>3554</v>
      </c>
      <c r="O602" t="s">
        <v>4132</v>
      </c>
      <c r="P602" t="s">
        <v>4139</v>
      </c>
      <c r="Q602" t="s">
        <v>4147</v>
      </c>
      <c r="R602" t="s">
        <v>3523</v>
      </c>
      <c r="T602" t="s">
        <v>4156</v>
      </c>
      <c r="V602" t="s">
        <v>222</v>
      </c>
      <c r="W602">
        <v>208</v>
      </c>
      <c r="X602" t="s">
        <v>4194</v>
      </c>
      <c r="Y602" t="s">
        <v>4206</v>
      </c>
      <c r="Z602" t="s">
        <v>4748</v>
      </c>
      <c r="AB602" t="s">
        <v>6111</v>
      </c>
      <c r="AC602">
        <v>35</v>
      </c>
      <c r="AD602" t="s">
        <v>5524</v>
      </c>
      <c r="AE602" t="s">
        <v>3526</v>
      </c>
      <c r="AF602">
        <v>10</v>
      </c>
      <c r="AG602">
        <v>1</v>
      </c>
      <c r="AH602">
        <v>0</v>
      </c>
      <c r="AI602">
        <v>85.22</v>
      </c>
      <c r="AL602" t="s">
        <v>6802</v>
      </c>
      <c r="AM602">
        <v>10644</v>
      </c>
    </row>
    <row r="603" spans="1:44">
      <c r="A603" s="1">
        <f>HYPERLINK("https://lsnyc.legalserver.org/matter/dynamic-profile/view/1907664","19-1907664")</f>
        <v>0</v>
      </c>
      <c r="B603" t="s">
        <v>52</v>
      </c>
      <c r="C603" t="s">
        <v>284</v>
      </c>
      <c r="E603" t="s">
        <v>807</v>
      </c>
      <c r="F603" t="s">
        <v>543</v>
      </c>
      <c r="G603" t="s">
        <v>2410</v>
      </c>
      <c r="H603" t="s">
        <v>3272</v>
      </c>
      <c r="I603" t="s">
        <v>3490</v>
      </c>
      <c r="J603">
        <v>11226</v>
      </c>
      <c r="K603" t="s">
        <v>3522</v>
      </c>
      <c r="L603" t="s">
        <v>3525</v>
      </c>
      <c r="N603" t="s">
        <v>4110</v>
      </c>
      <c r="O603" t="s">
        <v>4137</v>
      </c>
      <c r="Q603" t="s">
        <v>4147</v>
      </c>
      <c r="R603" t="s">
        <v>3522</v>
      </c>
      <c r="T603" t="s">
        <v>4156</v>
      </c>
      <c r="V603" t="s">
        <v>284</v>
      </c>
      <c r="W603">
        <v>0</v>
      </c>
      <c r="X603" t="s">
        <v>4193</v>
      </c>
      <c r="Z603" t="s">
        <v>4749</v>
      </c>
      <c r="AB603" t="s">
        <v>6112</v>
      </c>
      <c r="AC603">
        <v>36</v>
      </c>
      <c r="AD603" t="s">
        <v>6772</v>
      </c>
      <c r="AF603">
        <v>0</v>
      </c>
      <c r="AG603">
        <v>3</v>
      </c>
      <c r="AH603">
        <v>0</v>
      </c>
      <c r="AI603">
        <v>85.33</v>
      </c>
      <c r="AL603" t="s">
        <v>6814</v>
      </c>
      <c r="AM603">
        <v>18200</v>
      </c>
      <c r="AN603" t="s">
        <v>6855</v>
      </c>
    </row>
    <row r="604" spans="1:44">
      <c r="A604" s="1">
        <f>HYPERLINK("https://lsnyc.legalserver.org/matter/dynamic-profile/view/1906862","19-1906862")</f>
        <v>0</v>
      </c>
      <c r="B604" t="s">
        <v>107</v>
      </c>
      <c r="C604" t="s">
        <v>308</v>
      </c>
      <c r="E604" t="s">
        <v>399</v>
      </c>
      <c r="F604" t="s">
        <v>1668</v>
      </c>
      <c r="G604" t="s">
        <v>2630</v>
      </c>
      <c r="H604" t="s">
        <v>3323</v>
      </c>
      <c r="I604" t="s">
        <v>3494</v>
      </c>
      <c r="J604">
        <v>10301</v>
      </c>
      <c r="K604" t="s">
        <v>3522</v>
      </c>
      <c r="L604" t="s">
        <v>3525</v>
      </c>
      <c r="M604" t="s">
        <v>3803</v>
      </c>
      <c r="N604" t="s">
        <v>4109</v>
      </c>
      <c r="O604" t="s">
        <v>4134</v>
      </c>
      <c r="Q604" t="s">
        <v>4147</v>
      </c>
      <c r="R604" t="s">
        <v>3523</v>
      </c>
      <c r="T604" t="s">
        <v>4156</v>
      </c>
      <c r="U604" t="s">
        <v>4168</v>
      </c>
      <c r="V604" t="s">
        <v>308</v>
      </c>
      <c r="W604">
        <v>0</v>
      </c>
      <c r="X604" t="s">
        <v>4195</v>
      </c>
      <c r="Y604" t="s">
        <v>4201</v>
      </c>
      <c r="Z604" t="s">
        <v>4750</v>
      </c>
      <c r="AB604" t="s">
        <v>6113</v>
      </c>
      <c r="AC604">
        <v>454</v>
      </c>
      <c r="AE604" t="s">
        <v>3526</v>
      </c>
      <c r="AF604">
        <v>-1</v>
      </c>
      <c r="AG604">
        <v>1</v>
      </c>
      <c r="AH604">
        <v>2</v>
      </c>
      <c r="AI604">
        <v>85.33</v>
      </c>
      <c r="AL604" t="s">
        <v>6806</v>
      </c>
      <c r="AM604">
        <v>18200</v>
      </c>
    </row>
    <row r="605" spans="1:44">
      <c r="A605" s="1">
        <f>HYPERLINK("https://lsnyc.legalserver.org/matter/dynamic-profile/view/1913088","19-1913088")</f>
        <v>0</v>
      </c>
      <c r="B605" t="s">
        <v>89</v>
      </c>
      <c r="C605" t="s">
        <v>314</v>
      </c>
      <c r="D605" t="s">
        <v>383</v>
      </c>
      <c r="E605" t="s">
        <v>806</v>
      </c>
      <c r="F605" t="s">
        <v>1669</v>
      </c>
      <c r="G605" t="s">
        <v>2631</v>
      </c>
      <c r="I605" t="s">
        <v>3495</v>
      </c>
      <c r="J605">
        <v>10040</v>
      </c>
      <c r="K605" t="s">
        <v>3522</v>
      </c>
      <c r="L605" t="s">
        <v>3525</v>
      </c>
      <c r="N605" t="s">
        <v>3554</v>
      </c>
      <c r="O605" t="s">
        <v>4132</v>
      </c>
      <c r="P605" t="s">
        <v>4139</v>
      </c>
      <c r="Q605" t="s">
        <v>4147</v>
      </c>
      <c r="R605" t="s">
        <v>3523</v>
      </c>
      <c r="T605" t="s">
        <v>4156</v>
      </c>
      <c r="V605" t="s">
        <v>267</v>
      </c>
      <c r="W605">
        <v>511</v>
      </c>
      <c r="X605" t="s">
        <v>4196</v>
      </c>
      <c r="Z605" t="s">
        <v>4751</v>
      </c>
      <c r="AB605" t="s">
        <v>6114</v>
      </c>
      <c r="AC605">
        <v>4</v>
      </c>
      <c r="AD605" t="s">
        <v>6772</v>
      </c>
      <c r="AE605" t="s">
        <v>3526</v>
      </c>
      <c r="AF605">
        <v>52</v>
      </c>
      <c r="AG605">
        <v>1</v>
      </c>
      <c r="AH605">
        <v>0</v>
      </c>
      <c r="AI605">
        <v>85.51000000000001</v>
      </c>
      <c r="AL605" t="s">
        <v>6815</v>
      </c>
      <c r="AM605">
        <v>10680</v>
      </c>
    </row>
    <row r="606" spans="1:44">
      <c r="A606" s="1">
        <f>HYPERLINK("https://lsnyc.legalserver.org/matter/dynamic-profile/view/1908942","19-1908942")</f>
        <v>0</v>
      </c>
      <c r="B606" t="s">
        <v>103</v>
      </c>
      <c r="C606" t="s">
        <v>304</v>
      </c>
      <c r="E606" t="s">
        <v>808</v>
      </c>
      <c r="F606" t="s">
        <v>1562</v>
      </c>
      <c r="G606" t="s">
        <v>2632</v>
      </c>
      <c r="H606" t="s">
        <v>3220</v>
      </c>
      <c r="I606" t="s">
        <v>3493</v>
      </c>
      <c r="J606">
        <v>10460</v>
      </c>
      <c r="K606" t="s">
        <v>3522</v>
      </c>
      <c r="L606" t="s">
        <v>3525</v>
      </c>
      <c r="N606" t="s">
        <v>3554</v>
      </c>
      <c r="O606" t="s">
        <v>4132</v>
      </c>
      <c r="Q606" t="s">
        <v>4147</v>
      </c>
      <c r="R606" t="s">
        <v>3523</v>
      </c>
      <c r="T606" t="s">
        <v>4156</v>
      </c>
      <c r="V606" t="s">
        <v>253</v>
      </c>
      <c r="W606">
        <v>818.75</v>
      </c>
      <c r="X606" t="s">
        <v>4194</v>
      </c>
      <c r="Y606" t="s">
        <v>4206</v>
      </c>
      <c r="Z606" t="s">
        <v>4752</v>
      </c>
      <c r="AB606" t="s">
        <v>6115</v>
      </c>
      <c r="AC606">
        <v>20</v>
      </c>
      <c r="AD606" t="s">
        <v>6774</v>
      </c>
      <c r="AE606" t="s">
        <v>3526</v>
      </c>
      <c r="AF606">
        <v>15</v>
      </c>
      <c r="AG606">
        <v>2</v>
      </c>
      <c r="AH606">
        <v>0</v>
      </c>
      <c r="AI606">
        <v>86.22</v>
      </c>
      <c r="AL606" t="s">
        <v>6801</v>
      </c>
      <c r="AM606">
        <v>14580</v>
      </c>
    </row>
    <row r="607" spans="1:44">
      <c r="A607" s="1">
        <f>HYPERLINK("https://lsnyc.legalserver.org/matter/dynamic-profile/view/1904298","19-1904298")</f>
        <v>0</v>
      </c>
      <c r="B607" t="s">
        <v>54</v>
      </c>
      <c r="C607" t="s">
        <v>179</v>
      </c>
      <c r="E607" t="s">
        <v>602</v>
      </c>
      <c r="F607" t="s">
        <v>1670</v>
      </c>
      <c r="G607" t="s">
        <v>2633</v>
      </c>
      <c r="H607" t="s">
        <v>3270</v>
      </c>
      <c r="I607" t="s">
        <v>3490</v>
      </c>
      <c r="J607">
        <v>11213</v>
      </c>
      <c r="K607" t="s">
        <v>3522</v>
      </c>
      <c r="L607" t="s">
        <v>3525</v>
      </c>
      <c r="M607" t="s">
        <v>3804</v>
      </c>
      <c r="N607" t="s">
        <v>4107</v>
      </c>
      <c r="O607" t="s">
        <v>4134</v>
      </c>
      <c r="Q607" t="s">
        <v>4147</v>
      </c>
      <c r="R607" t="s">
        <v>3523</v>
      </c>
      <c r="T607" t="s">
        <v>4156</v>
      </c>
      <c r="U607" t="s">
        <v>4168</v>
      </c>
      <c r="V607" t="s">
        <v>209</v>
      </c>
      <c r="W607">
        <v>300</v>
      </c>
      <c r="X607" t="s">
        <v>4193</v>
      </c>
      <c r="Y607" t="s">
        <v>4206</v>
      </c>
      <c r="Z607" t="s">
        <v>4753</v>
      </c>
      <c r="AA607" t="s">
        <v>5488</v>
      </c>
      <c r="AB607" t="s">
        <v>6116</v>
      </c>
      <c r="AC607">
        <v>34</v>
      </c>
      <c r="AD607" t="s">
        <v>6780</v>
      </c>
      <c r="AE607" t="s">
        <v>3526</v>
      </c>
      <c r="AF607">
        <v>44</v>
      </c>
      <c r="AG607">
        <v>1</v>
      </c>
      <c r="AH607">
        <v>0</v>
      </c>
      <c r="AI607">
        <v>86.47</v>
      </c>
      <c r="AL607" t="s">
        <v>6801</v>
      </c>
      <c r="AM607">
        <v>10800</v>
      </c>
    </row>
    <row r="608" spans="1:44">
      <c r="A608" s="1">
        <f>HYPERLINK("https://lsnyc.legalserver.org/matter/dynamic-profile/view/1908321","19-1908321")</f>
        <v>0</v>
      </c>
      <c r="B608" t="s">
        <v>120</v>
      </c>
      <c r="C608" t="s">
        <v>247</v>
      </c>
      <c r="D608" t="s">
        <v>257</v>
      </c>
      <c r="E608" t="s">
        <v>543</v>
      </c>
      <c r="F608" t="s">
        <v>1671</v>
      </c>
      <c r="G608" t="s">
        <v>2634</v>
      </c>
      <c r="H608" t="s">
        <v>3324</v>
      </c>
      <c r="I608" t="s">
        <v>3494</v>
      </c>
      <c r="J608">
        <v>10301</v>
      </c>
      <c r="K608" t="s">
        <v>3522</v>
      </c>
      <c r="L608" t="s">
        <v>3525</v>
      </c>
      <c r="M608" t="s">
        <v>3805</v>
      </c>
      <c r="N608" t="s">
        <v>4107</v>
      </c>
      <c r="O608" t="s">
        <v>4134</v>
      </c>
      <c r="P608" t="s">
        <v>4140</v>
      </c>
      <c r="Q608" t="s">
        <v>4147</v>
      </c>
      <c r="R608" t="s">
        <v>3523</v>
      </c>
      <c r="T608" t="s">
        <v>4156</v>
      </c>
      <c r="U608" t="s">
        <v>4168</v>
      </c>
      <c r="V608" t="s">
        <v>247</v>
      </c>
      <c r="W608">
        <v>0</v>
      </c>
      <c r="X608" t="s">
        <v>4195</v>
      </c>
      <c r="Z608" t="s">
        <v>4754</v>
      </c>
      <c r="AB608" t="s">
        <v>6117</v>
      </c>
      <c r="AC608">
        <v>2</v>
      </c>
      <c r="AD608" t="s">
        <v>6771</v>
      </c>
      <c r="AE608" t="s">
        <v>3526</v>
      </c>
      <c r="AF608">
        <v>20</v>
      </c>
      <c r="AG608">
        <v>1</v>
      </c>
      <c r="AH608">
        <v>0</v>
      </c>
      <c r="AI608">
        <v>86.47</v>
      </c>
      <c r="AL608" t="s">
        <v>6801</v>
      </c>
      <c r="AM608">
        <v>10800</v>
      </c>
      <c r="AO608" t="s">
        <v>6915</v>
      </c>
      <c r="AP608" t="s">
        <v>6928</v>
      </c>
      <c r="AQ608" t="s">
        <v>6945</v>
      </c>
      <c r="AR608" t="s">
        <v>6986</v>
      </c>
    </row>
    <row r="609" spans="1:44">
      <c r="A609" s="1">
        <f>HYPERLINK("https://lsnyc.legalserver.org/matter/dynamic-profile/view/1917063","19-1917063")</f>
        <v>0</v>
      </c>
      <c r="B609" t="s">
        <v>91</v>
      </c>
      <c r="C609" t="s">
        <v>243</v>
      </c>
      <c r="E609" t="s">
        <v>687</v>
      </c>
      <c r="F609" t="s">
        <v>1672</v>
      </c>
      <c r="G609" t="s">
        <v>2635</v>
      </c>
      <c r="H609">
        <v>3</v>
      </c>
      <c r="I609" t="s">
        <v>3495</v>
      </c>
      <c r="J609">
        <v>10029</v>
      </c>
      <c r="K609" t="s">
        <v>3522</v>
      </c>
      <c r="L609" t="s">
        <v>3525</v>
      </c>
      <c r="M609" t="s">
        <v>3806</v>
      </c>
      <c r="N609" t="s">
        <v>4109</v>
      </c>
      <c r="O609" t="s">
        <v>4136</v>
      </c>
      <c r="Q609" t="s">
        <v>4147</v>
      </c>
      <c r="R609" t="s">
        <v>3523</v>
      </c>
      <c r="T609" t="s">
        <v>4156</v>
      </c>
      <c r="U609" t="s">
        <v>4168</v>
      </c>
      <c r="V609" t="s">
        <v>243</v>
      </c>
      <c r="W609">
        <v>544.0599999999999</v>
      </c>
      <c r="X609" t="s">
        <v>4196</v>
      </c>
      <c r="Y609" t="s">
        <v>4200</v>
      </c>
      <c r="Z609" t="s">
        <v>4755</v>
      </c>
      <c r="AB609" t="s">
        <v>6118</v>
      </c>
      <c r="AC609">
        <v>8</v>
      </c>
      <c r="AD609" t="s">
        <v>5524</v>
      </c>
      <c r="AE609" t="s">
        <v>3526</v>
      </c>
      <c r="AF609">
        <v>41</v>
      </c>
      <c r="AG609">
        <v>1</v>
      </c>
      <c r="AH609">
        <v>0</v>
      </c>
      <c r="AI609">
        <v>86.47</v>
      </c>
      <c r="AL609" t="s">
        <v>6802</v>
      </c>
      <c r="AM609">
        <v>10800</v>
      </c>
    </row>
    <row r="610" spans="1:44">
      <c r="A610" s="1">
        <f>HYPERLINK("https://lsnyc.legalserver.org/matter/dynamic-profile/view/1914453","19-1914453")</f>
        <v>0</v>
      </c>
      <c r="B610" t="s">
        <v>46</v>
      </c>
      <c r="C610" t="s">
        <v>289</v>
      </c>
      <c r="E610" t="s">
        <v>693</v>
      </c>
      <c r="F610" t="s">
        <v>1673</v>
      </c>
      <c r="G610" t="s">
        <v>2636</v>
      </c>
      <c r="I610" t="s">
        <v>3514</v>
      </c>
      <c r="J610">
        <v>11421</v>
      </c>
      <c r="K610" t="s">
        <v>3522</v>
      </c>
      <c r="L610" t="s">
        <v>3525</v>
      </c>
      <c r="M610" t="s">
        <v>3807</v>
      </c>
      <c r="N610" t="s">
        <v>4107</v>
      </c>
      <c r="O610" t="s">
        <v>4132</v>
      </c>
      <c r="Q610" t="s">
        <v>4147</v>
      </c>
      <c r="R610" t="s">
        <v>3523</v>
      </c>
      <c r="T610" t="s">
        <v>4156</v>
      </c>
      <c r="U610" t="s">
        <v>4169</v>
      </c>
      <c r="V610" t="s">
        <v>289</v>
      </c>
      <c r="W610">
        <v>2400</v>
      </c>
      <c r="X610" t="s">
        <v>4192</v>
      </c>
      <c r="Y610" t="s">
        <v>4197</v>
      </c>
      <c r="Z610" t="s">
        <v>4756</v>
      </c>
      <c r="AB610" t="s">
        <v>6119</v>
      </c>
      <c r="AC610">
        <v>2</v>
      </c>
      <c r="AD610" t="s">
        <v>6771</v>
      </c>
      <c r="AF610">
        <v>2</v>
      </c>
      <c r="AG610">
        <v>2</v>
      </c>
      <c r="AH610">
        <v>2</v>
      </c>
      <c r="AI610">
        <v>86.70999999999999</v>
      </c>
      <c r="AL610" t="s">
        <v>6802</v>
      </c>
      <c r="AM610">
        <v>22329</v>
      </c>
    </row>
    <row r="611" spans="1:44">
      <c r="A611" s="1">
        <f>HYPERLINK("https://lsnyc.legalserver.org/matter/dynamic-profile/view/1899388","19-1899388")</f>
        <v>0</v>
      </c>
      <c r="B611" t="s">
        <v>107</v>
      </c>
      <c r="C611" t="s">
        <v>330</v>
      </c>
      <c r="D611" t="s">
        <v>284</v>
      </c>
      <c r="E611" t="s">
        <v>809</v>
      </c>
      <c r="F611" t="s">
        <v>1369</v>
      </c>
      <c r="G611" t="s">
        <v>2637</v>
      </c>
      <c r="H611" t="s">
        <v>3159</v>
      </c>
      <c r="I611" t="s">
        <v>3494</v>
      </c>
      <c r="J611">
        <v>10301</v>
      </c>
      <c r="K611" t="s">
        <v>3522</v>
      </c>
      <c r="L611" t="s">
        <v>3525</v>
      </c>
      <c r="N611" t="s">
        <v>4107</v>
      </c>
      <c r="O611" t="s">
        <v>4132</v>
      </c>
      <c r="P611" t="s">
        <v>4139</v>
      </c>
      <c r="Q611" t="s">
        <v>4147</v>
      </c>
      <c r="R611" t="s">
        <v>3523</v>
      </c>
      <c r="T611" t="s">
        <v>4156</v>
      </c>
      <c r="U611" t="s">
        <v>4168</v>
      </c>
      <c r="V611" t="s">
        <v>320</v>
      </c>
      <c r="W611">
        <v>433</v>
      </c>
      <c r="X611" t="s">
        <v>4195</v>
      </c>
      <c r="Y611" t="s">
        <v>4201</v>
      </c>
      <c r="Z611" t="s">
        <v>4757</v>
      </c>
      <c r="AB611" t="s">
        <v>6120</v>
      </c>
      <c r="AC611">
        <v>2</v>
      </c>
      <c r="AD611" t="s">
        <v>6771</v>
      </c>
      <c r="AE611" t="s">
        <v>3526</v>
      </c>
      <c r="AF611">
        <v>1</v>
      </c>
      <c r="AG611">
        <v>1</v>
      </c>
      <c r="AH611">
        <v>2</v>
      </c>
      <c r="AI611">
        <v>86.75</v>
      </c>
      <c r="AL611" t="s">
        <v>6801</v>
      </c>
      <c r="AM611">
        <v>18504</v>
      </c>
      <c r="AO611" t="s">
        <v>6921</v>
      </c>
      <c r="AP611" t="s">
        <v>6924</v>
      </c>
      <c r="AQ611" t="s">
        <v>6946</v>
      </c>
      <c r="AR611" t="s">
        <v>6987</v>
      </c>
    </row>
    <row r="612" spans="1:44">
      <c r="A612" s="1">
        <f>HYPERLINK("https://lsnyc.legalserver.org/matter/dynamic-profile/view/1917123","19-1917123")</f>
        <v>0</v>
      </c>
      <c r="B612" t="s">
        <v>64</v>
      </c>
      <c r="C612" t="s">
        <v>243</v>
      </c>
      <c r="E612" t="s">
        <v>810</v>
      </c>
      <c r="F612" t="s">
        <v>1674</v>
      </c>
      <c r="G612" t="s">
        <v>2638</v>
      </c>
      <c r="H612">
        <v>1145</v>
      </c>
      <c r="I612" t="s">
        <v>3490</v>
      </c>
      <c r="J612">
        <v>11224</v>
      </c>
      <c r="K612" t="s">
        <v>3522</v>
      </c>
      <c r="L612" t="s">
        <v>3525</v>
      </c>
      <c r="O612" t="s">
        <v>4134</v>
      </c>
      <c r="Q612" t="s">
        <v>4147</v>
      </c>
      <c r="T612" t="s">
        <v>4156</v>
      </c>
      <c r="V612" t="s">
        <v>242</v>
      </c>
      <c r="W612">
        <v>0</v>
      </c>
      <c r="X612" t="s">
        <v>4193</v>
      </c>
      <c r="Z612" t="s">
        <v>4758</v>
      </c>
      <c r="AB612" t="s">
        <v>6121</v>
      </c>
      <c r="AC612">
        <v>0</v>
      </c>
      <c r="AF612">
        <v>0</v>
      </c>
      <c r="AG612">
        <v>3</v>
      </c>
      <c r="AH612">
        <v>0</v>
      </c>
      <c r="AI612">
        <v>87.31</v>
      </c>
      <c r="AL612" t="s">
        <v>6801</v>
      </c>
      <c r="AM612">
        <v>18624</v>
      </c>
    </row>
    <row r="613" spans="1:44">
      <c r="A613" s="1">
        <f>HYPERLINK("https://lsnyc.legalserver.org/matter/dynamic-profile/view/1906841","19-1906841")</f>
        <v>0</v>
      </c>
      <c r="B613" t="s">
        <v>132</v>
      </c>
      <c r="C613" t="s">
        <v>308</v>
      </c>
      <c r="D613" t="s">
        <v>257</v>
      </c>
      <c r="E613" t="s">
        <v>811</v>
      </c>
      <c r="F613" t="s">
        <v>1675</v>
      </c>
      <c r="G613" t="s">
        <v>2639</v>
      </c>
      <c r="H613" t="s">
        <v>3170</v>
      </c>
      <c r="I613" t="s">
        <v>3495</v>
      </c>
      <c r="J613">
        <v>10039</v>
      </c>
      <c r="K613" t="s">
        <v>3522</v>
      </c>
      <c r="L613" t="s">
        <v>3527</v>
      </c>
      <c r="M613" t="s">
        <v>3808</v>
      </c>
      <c r="N613" t="s">
        <v>4107</v>
      </c>
      <c r="O613" t="s">
        <v>4132</v>
      </c>
      <c r="P613" t="s">
        <v>4139</v>
      </c>
      <c r="Q613" t="s">
        <v>4147</v>
      </c>
      <c r="R613" t="s">
        <v>3523</v>
      </c>
      <c r="T613" t="s">
        <v>4156</v>
      </c>
      <c r="V613" t="s">
        <v>308</v>
      </c>
      <c r="W613">
        <v>500.88</v>
      </c>
      <c r="X613" t="s">
        <v>4196</v>
      </c>
      <c r="Y613" t="s">
        <v>4197</v>
      </c>
      <c r="Z613" t="s">
        <v>4759</v>
      </c>
      <c r="AA613" t="s">
        <v>5591</v>
      </c>
      <c r="AB613" t="s">
        <v>6122</v>
      </c>
      <c r="AC613">
        <v>10</v>
      </c>
      <c r="AD613" t="s">
        <v>6772</v>
      </c>
      <c r="AE613" t="s">
        <v>3526</v>
      </c>
      <c r="AF613">
        <v>2</v>
      </c>
      <c r="AG613">
        <v>1</v>
      </c>
      <c r="AH613">
        <v>0</v>
      </c>
      <c r="AI613">
        <v>87.53</v>
      </c>
      <c r="AL613" t="s">
        <v>6801</v>
      </c>
      <c r="AM613">
        <v>10932</v>
      </c>
    </row>
    <row r="614" spans="1:44">
      <c r="A614" s="1">
        <f>HYPERLINK("https://lsnyc.legalserver.org/matter/dynamic-profile/view/1912986","19-1912986")</f>
        <v>0</v>
      </c>
      <c r="B614" t="s">
        <v>102</v>
      </c>
      <c r="C614" t="s">
        <v>196</v>
      </c>
      <c r="E614" t="s">
        <v>812</v>
      </c>
      <c r="F614" t="s">
        <v>1393</v>
      </c>
      <c r="G614" t="s">
        <v>2528</v>
      </c>
      <c r="H614" t="s">
        <v>3318</v>
      </c>
      <c r="I614" t="s">
        <v>3493</v>
      </c>
      <c r="J614">
        <v>10458</v>
      </c>
      <c r="K614" t="s">
        <v>3522</v>
      </c>
      <c r="L614" t="s">
        <v>3527</v>
      </c>
      <c r="M614" t="s">
        <v>3809</v>
      </c>
      <c r="N614" t="s">
        <v>4109</v>
      </c>
      <c r="O614" t="s">
        <v>4134</v>
      </c>
      <c r="Q614" t="s">
        <v>4147</v>
      </c>
      <c r="R614" t="s">
        <v>3523</v>
      </c>
      <c r="T614" t="s">
        <v>4156</v>
      </c>
      <c r="U614" t="s">
        <v>4167</v>
      </c>
      <c r="V614" t="s">
        <v>196</v>
      </c>
      <c r="W614">
        <v>1107.37</v>
      </c>
      <c r="X614" t="s">
        <v>4194</v>
      </c>
      <c r="Y614" t="s">
        <v>4206</v>
      </c>
      <c r="Z614" t="s">
        <v>4760</v>
      </c>
      <c r="AA614" t="s">
        <v>5592</v>
      </c>
      <c r="AB614" t="s">
        <v>6123</v>
      </c>
      <c r="AC614">
        <v>94</v>
      </c>
      <c r="AD614" t="s">
        <v>5524</v>
      </c>
      <c r="AE614" t="s">
        <v>6788</v>
      </c>
      <c r="AF614">
        <v>7</v>
      </c>
      <c r="AG614">
        <v>3</v>
      </c>
      <c r="AH614">
        <v>1</v>
      </c>
      <c r="AI614">
        <v>87.56999999999999</v>
      </c>
      <c r="AL614" t="s">
        <v>6802</v>
      </c>
      <c r="AM614">
        <v>22548</v>
      </c>
      <c r="AQ614" t="s">
        <v>6945</v>
      </c>
    </row>
    <row r="615" spans="1:44">
      <c r="A615" s="1">
        <f>HYPERLINK("https://lsnyc.legalserver.org/matter/dynamic-profile/view/1916737","19-1916737")</f>
        <v>0</v>
      </c>
      <c r="B615" t="s">
        <v>52</v>
      </c>
      <c r="C615" t="s">
        <v>195</v>
      </c>
      <c r="E615" t="s">
        <v>813</v>
      </c>
      <c r="F615" t="s">
        <v>1676</v>
      </c>
      <c r="G615" t="s">
        <v>2640</v>
      </c>
      <c r="H615" t="s">
        <v>3156</v>
      </c>
      <c r="I615" t="s">
        <v>3490</v>
      </c>
      <c r="J615">
        <v>11220</v>
      </c>
      <c r="K615" t="s">
        <v>3522</v>
      </c>
      <c r="L615" t="s">
        <v>3525</v>
      </c>
      <c r="N615" t="s">
        <v>4115</v>
      </c>
      <c r="O615" t="s">
        <v>4134</v>
      </c>
      <c r="Q615" t="s">
        <v>4147</v>
      </c>
      <c r="R615" t="s">
        <v>3522</v>
      </c>
      <c r="T615" t="s">
        <v>4156</v>
      </c>
      <c r="V615" t="s">
        <v>208</v>
      </c>
      <c r="W615">
        <v>0</v>
      </c>
      <c r="X615" t="s">
        <v>4193</v>
      </c>
      <c r="Z615" t="s">
        <v>4761</v>
      </c>
      <c r="AB615" t="s">
        <v>6124</v>
      </c>
      <c r="AC615">
        <v>54</v>
      </c>
      <c r="AE615" t="s">
        <v>6791</v>
      </c>
      <c r="AF615">
        <v>35</v>
      </c>
      <c r="AG615">
        <v>3</v>
      </c>
      <c r="AH615">
        <v>0</v>
      </c>
      <c r="AI615">
        <v>88.05</v>
      </c>
      <c r="AL615" t="s">
        <v>6801</v>
      </c>
      <c r="AM615">
        <v>18780</v>
      </c>
    </row>
    <row r="616" spans="1:44">
      <c r="A616" s="1">
        <f>HYPERLINK("https://lsnyc.legalserver.org/matter/dynamic-profile/view/1905115","19-1905115")</f>
        <v>0</v>
      </c>
      <c r="B616" t="s">
        <v>65</v>
      </c>
      <c r="C616" t="s">
        <v>216</v>
      </c>
      <c r="E616" t="s">
        <v>813</v>
      </c>
      <c r="F616" t="s">
        <v>1676</v>
      </c>
      <c r="G616" t="s">
        <v>2640</v>
      </c>
      <c r="H616" t="s">
        <v>3156</v>
      </c>
      <c r="I616" t="s">
        <v>3490</v>
      </c>
      <c r="J616">
        <v>11220</v>
      </c>
      <c r="K616" t="s">
        <v>3522</v>
      </c>
      <c r="O616" t="s">
        <v>4134</v>
      </c>
      <c r="Q616" t="s">
        <v>4147</v>
      </c>
      <c r="R616" t="s">
        <v>3522</v>
      </c>
      <c r="T616" t="s">
        <v>4156</v>
      </c>
      <c r="V616" t="s">
        <v>272</v>
      </c>
      <c r="W616">
        <v>0</v>
      </c>
      <c r="X616" t="s">
        <v>4193</v>
      </c>
      <c r="Z616" t="s">
        <v>4761</v>
      </c>
      <c r="AB616" t="s">
        <v>6124</v>
      </c>
      <c r="AC616">
        <v>54</v>
      </c>
      <c r="AE616" t="s">
        <v>6791</v>
      </c>
      <c r="AF616">
        <v>0</v>
      </c>
      <c r="AG616">
        <v>3</v>
      </c>
      <c r="AH616">
        <v>0</v>
      </c>
      <c r="AI616">
        <v>88.05</v>
      </c>
      <c r="AL616" t="s">
        <v>6801</v>
      </c>
      <c r="AM616">
        <v>18780</v>
      </c>
    </row>
    <row r="617" spans="1:44">
      <c r="A617" s="1">
        <f>HYPERLINK("https://lsnyc.legalserver.org/matter/dynamic-profile/view/1915160","19-1915160")</f>
        <v>0</v>
      </c>
      <c r="B617" t="s">
        <v>87</v>
      </c>
      <c r="C617" t="s">
        <v>182</v>
      </c>
      <c r="E617" t="s">
        <v>521</v>
      </c>
      <c r="F617" t="s">
        <v>1677</v>
      </c>
      <c r="G617" t="s">
        <v>2641</v>
      </c>
      <c r="H617" t="s">
        <v>3158</v>
      </c>
      <c r="I617" t="s">
        <v>3495</v>
      </c>
      <c r="J617">
        <v>10032</v>
      </c>
      <c r="K617" t="s">
        <v>3522</v>
      </c>
      <c r="L617" t="s">
        <v>3525</v>
      </c>
      <c r="O617" t="s">
        <v>4136</v>
      </c>
      <c r="Q617" t="s">
        <v>4147</v>
      </c>
      <c r="R617" t="s">
        <v>3523</v>
      </c>
      <c r="T617" t="s">
        <v>4156</v>
      </c>
      <c r="V617" t="s">
        <v>182</v>
      </c>
      <c r="W617">
        <v>555</v>
      </c>
      <c r="X617" t="s">
        <v>4196</v>
      </c>
      <c r="Y617" t="s">
        <v>4205</v>
      </c>
      <c r="Z617" t="s">
        <v>4762</v>
      </c>
      <c r="AC617">
        <v>22</v>
      </c>
      <c r="AD617" t="s">
        <v>6774</v>
      </c>
      <c r="AE617" t="s">
        <v>6786</v>
      </c>
      <c r="AF617">
        <v>33</v>
      </c>
      <c r="AG617">
        <v>1</v>
      </c>
      <c r="AH617">
        <v>0</v>
      </c>
      <c r="AI617">
        <v>88.06999999999999</v>
      </c>
      <c r="AL617" t="s">
        <v>6802</v>
      </c>
      <c r="AM617">
        <v>11000</v>
      </c>
    </row>
    <row r="618" spans="1:44">
      <c r="A618" s="1">
        <f>HYPERLINK("https://lsnyc.legalserver.org/matter/dynamic-profile/view/1914570","19-1914570")</f>
        <v>0</v>
      </c>
      <c r="B618" t="s">
        <v>91</v>
      </c>
      <c r="C618" t="s">
        <v>273</v>
      </c>
      <c r="D618" t="s">
        <v>200</v>
      </c>
      <c r="E618" t="s">
        <v>586</v>
      </c>
      <c r="F618" t="s">
        <v>1678</v>
      </c>
      <c r="G618" t="s">
        <v>2642</v>
      </c>
      <c r="H618" t="s">
        <v>3141</v>
      </c>
      <c r="I618" t="s">
        <v>3495</v>
      </c>
      <c r="J618">
        <v>10029</v>
      </c>
      <c r="K618" t="s">
        <v>3522</v>
      </c>
      <c r="L618" t="s">
        <v>3525</v>
      </c>
      <c r="N618" t="s">
        <v>3554</v>
      </c>
      <c r="O618" t="s">
        <v>4132</v>
      </c>
      <c r="P618" t="s">
        <v>4139</v>
      </c>
      <c r="Q618" t="s">
        <v>4147</v>
      </c>
      <c r="R618" t="s">
        <v>3523</v>
      </c>
      <c r="T618" t="s">
        <v>4156</v>
      </c>
      <c r="U618" t="s">
        <v>4168</v>
      </c>
      <c r="V618" t="s">
        <v>273</v>
      </c>
      <c r="W618">
        <v>1500</v>
      </c>
      <c r="X618" t="s">
        <v>4196</v>
      </c>
      <c r="Y618" t="s">
        <v>4200</v>
      </c>
      <c r="Z618" t="s">
        <v>4763</v>
      </c>
      <c r="AB618" t="s">
        <v>5482</v>
      </c>
      <c r="AC618">
        <v>20</v>
      </c>
      <c r="AD618" t="s">
        <v>6781</v>
      </c>
      <c r="AE618" t="s">
        <v>6786</v>
      </c>
      <c r="AF618">
        <v>6</v>
      </c>
      <c r="AG618">
        <v>1</v>
      </c>
      <c r="AH618">
        <v>0</v>
      </c>
      <c r="AI618">
        <v>88.39</v>
      </c>
      <c r="AL618" t="s">
        <v>6801</v>
      </c>
      <c r="AM618">
        <v>11040</v>
      </c>
    </row>
    <row r="619" spans="1:44">
      <c r="A619" s="1">
        <f>HYPERLINK("https://lsnyc.legalserver.org/matter/dynamic-profile/view/1915376","19-1915376")</f>
        <v>0</v>
      </c>
      <c r="B619" t="s">
        <v>91</v>
      </c>
      <c r="C619" t="s">
        <v>260</v>
      </c>
      <c r="E619" t="s">
        <v>586</v>
      </c>
      <c r="F619" t="s">
        <v>1678</v>
      </c>
      <c r="G619" t="s">
        <v>2642</v>
      </c>
      <c r="H619" t="s">
        <v>3141</v>
      </c>
      <c r="I619" t="s">
        <v>3495</v>
      </c>
      <c r="J619">
        <v>10029</v>
      </c>
      <c r="K619" t="s">
        <v>3522</v>
      </c>
      <c r="L619" t="s">
        <v>3525</v>
      </c>
      <c r="N619" t="s">
        <v>3554</v>
      </c>
      <c r="O619" t="s">
        <v>4135</v>
      </c>
      <c r="Q619" t="s">
        <v>4147</v>
      </c>
      <c r="R619" t="s">
        <v>3523</v>
      </c>
      <c r="T619" t="s">
        <v>4156</v>
      </c>
      <c r="U619" t="s">
        <v>4168</v>
      </c>
      <c r="V619" t="s">
        <v>260</v>
      </c>
      <c r="W619">
        <v>1500</v>
      </c>
      <c r="X619" t="s">
        <v>4196</v>
      </c>
      <c r="Y619" t="s">
        <v>4200</v>
      </c>
      <c r="Z619" t="s">
        <v>4763</v>
      </c>
      <c r="AB619" t="s">
        <v>5482</v>
      </c>
      <c r="AC619">
        <v>20</v>
      </c>
      <c r="AD619" t="s">
        <v>6781</v>
      </c>
      <c r="AE619" t="s">
        <v>6794</v>
      </c>
      <c r="AF619">
        <v>6</v>
      </c>
      <c r="AG619">
        <v>1</v>
      </c>
      <c r="AH619">
        <v>0</v>
      </c>
      <c r="AI619">
        <v>88.39</v>
      </c>
      <c r="AL619" t="s">
        <v>6801</v>
      </c>
      <c r="AM619">
        <v>11040</v>
      </c>
    </row>
    <row r="620" spans="1:44">
      <c r="A620" s="1">
        <f>HYPERLINK("https://lsnyc.legalserver.org/matter/dynamic-profile/view/1909431","19-1909431")</f>
        <v>0</v>
      </c>
      <c r="B620" t="s">
        <v>46</v>
      </c>
      <c r="C620" t="s">
        <v>247</v>
      </c>
      <c r="E620" t="s">
        <v>814</v>
      </c>
      <c r="F620" t="s">
        <v>1446</v>
      </c>
      <c r="G620" t="s">
        <v>2643</v>
      </c>
      <c r="H620" t="s">
        <v>3220</v>
      </c>
      <c r="I620" t="s">
        <v>3501</v>
      </c>
      <c r="J620">
        <v>11101</v>
      </c>
      <c r="K620" t="s">
        <v>3522</v>
      </c>
      <c r="L620" t="s">
        <v>3525</v>
      </c>
      <c r="M620" t="s">
        <v>3810</v>
      </c>
      <c r="N620" t="s">
        <v>4110</v>
      </c>
      <c r="O620" t="s">
        <v>4135</v>
      </c>
      <c r="Q620" t="s">
        <v>4147</v>
      </c>
      <c r="R620" t="s">
        <v>3523</v>
      </c>
      <c r="T620" t="s">
        <v>4156</v>
      </c>
      <c r="U620" t="s">
        <v>4168</v>
      </c>
      <c r="V620" t="s">
        <v>247</v>
      </c>
      <c r="W620">
        <v>0</v>
      </c>
      <c r="X620" t="s">
        <v>4192</v>
      </c>
      <c r="Y620" t="s">
        <v>4201</v>
      </c>
      <c r="Z620" t="s">
        <v>4557</v>
      </c>
      <c r="AB620" t="s">
        <v>6125</v>
      </c>
      <c r="AC620">
        <v>45</v>
      </c>
      <c r="AF620">
        <v>0</v>
      </c>
      <c r="AG620">
        <v>2</v>
      </c>
      <c r="AH620">
        <v>0</v>
      </c>
      <c r="AI620">
        <v>88.7</v>
      </c>
      <c r="AL620" t="s">
        <v>6801</v>
      </c>
      <c r="AM620">
        <v>15000</v>
      </c>
    </row>
    <row r="621" spans="1:44">
      <c r="A621" s="1">
        <f>HYPERLINK("https://lsnyc.legalserver.org/matter/dynamic-profile/view/1898572","19-1898572")</f>
        <v>0</v>
      </c>
      <c r="B621" t="s">
        <v>122</v>
      </c>
      <c r="C621" t="s">
        <v>331</v>
      </c>
      <c r="E621" t="s">
        <v>815</v>
      </c>
      <c r="F621" t="s">
        <v>1679</v>
      </c>
      <c r="G621" t="s">
        <v>2644</v>
      </c>
      <c r="I621" t="s">
        <v>3480</v>
      </c>
      <c r="J621">
        <v>11436</v>
      </c>
      <c r="K621" t="s">
        <v>3522</v>
      </c>
      <c r="L621" t="s">
        <v>3525</v>
      </c>
      <c r="M621" t="s">
        <v>3811</v>
      </c>
      <c r="N621" t="s">
        <v>4107</v>
      </c>
      <c r="O621" t="s">
        <v>4132</v>
      </c>
      <c r="Q621" t="s">
        <v>4147</v>
      </c>
      <c r="R621" t="s">
        <v>3523</v>
      </c>
      <c r="T621" t="s">
        <v>4156</v>
      </c>
      <c r="U621" t="s">
        <v>4167</v>
      </c>
      <c r="V621" t="s">
        <v>279</v>
      </c>
      <c r="W621">
        <v>1800</v>
      </c>
      <c r="X621" t="s">
        <v>4192</v>
      </c>
      <c r="Y621" t="s">
        <v>4197</v>
      </c>
      <c r="Z621" t="s">
        <v>4764</v>
      </c>
      <c r="AB621" t="s">
        <v>6126</v>
      </c>
      <c r="AC621">
        <v>3</v>
      </c>
      <c r="AD621" t="s">
        <v>6782</v>
      </c>
      <c r="AE621" t="s">
        <v>3526</v>
      </c>
      <c r="AF621">
        <v>1</v>
      </c>
      <c r="AG621">
        <v>1</v>
      </c>
      <c r="AH621">
        <v>2</v>
      </c>
      <c r="AI621">
        <v>89.08</v>
      </c>
      <c r="AL621" t="s">
        <v>6801</v>
      </c>
      <c r="AM621">
        <v>19000</v>
      </c>
    </row>
    <row r="622" spans="1:44">
      <c r="A622" s="1">
        <f>HYPERLINK("https://lsnyc.legalserver.org/matter/dynamic-profile/view/1914384","19-1914384")</f>
        <v>0</v>
      </c>
      <c r="B622" t="s">
        <v>146</v>
      </c>
      <c r="C622" t="s">
        <v>289</v>
      </c>
      <c r="E622" t="s">
        <v>816</v>
      </c>
      <c r="F622" t="s">
        <v>1680</v>
      </c>
      <c r="G622" t="s">
        <v>2645</v>
      </c>
      <c r="H622" t="s">
        <v>3325</v>
      </c>
      <c r="I622" t="s">
        <v>3490</v>
      </c>
      <c r="J622">
        <v>11231</v>
      </c>
      <c r="K622" t="s">
        <v>3522</v>
      </c>
      <c r="Q622" t="s">
        <v>4147</v>
      </c>
      <c r="T622" t="s">
        <v>4156</v>
      </c>
      <c r="V622" t="s">
        <v>245</v>
      </c>
      <c r="W622">
        <v>0</v>
      </c>
      <c r="X622" t="s">
        <v>4193</v>
      </c>
      <c r="Z622" t="s">
        <v>4765</v>
      </c>
      <c r="AC622">
        <v>8</v>
      </c>
      <c r="AF622">
        <v>0</v>
      </c>
      <c r="AG622">
        <v>1</v>
      </c>
      <c r="AH622">
        <v>0</v>
      </c>
      <c r="AI622">
        <v>89.09999999999999</v>
      </c>
      <c r="AL622" t="s">
        <v>6801</v>
      </c>
      <c r="AM622">
        <v>11128</v>
      </c>
    </row>
    <row r="623" spans="1:44">
      <c r="A623" s="1">
        <f>HYPERLINK("https://lsnyc.legalserver.org/matter/dynamic-profile/view/1904398","19-1904398")</f>
        <v>0</v>
      </c>
      <c r="B623" t="s">
        <v>97</v>
      </c>
      <c r="C623" t="s">
        <v>293</v>
      </c>
      <c r="D623" t="s">
        <v>293</v>
      </c>
      <c r="E623" t="s">
        <v>817</v>
      </c>
      <c r="F623" t="s">
        <v>1268</v>
      </c>
      <c r="G623" t="s">
        <v>2646</v>
      </c>
      <c r="H623" t="s">
        <v>3252</v>
      </c>
      <c r="I623" t="s">
        <v>3490</v>
      </c>
      <c r="J623">
        <v>11212</v>
      </c>
      <c r="K623" t="s">
        <v>3522</v>
      </c>
      <c r="L623" t="s">
        <v>3525</v>
      </c>
      <c r="M623" t="s">
        <v>3526</v>
      </c>
      <c r="N623" t="s">
        <v>3554</v>
      </c>
      <c r="O623" t="s">
        <v>4135</v>
      </c>
      <c r="P623" t="s">
        <v>4142</v>
      </c>
      <c r="Q623" t="s">
        <v>4147</v>
      </c>
      <c r="R623" t="s">
        <v>3522</v>
      </c>
      <c r="T623" t="s">
        <v>4156</v>
      </c>
      <c r="U623" t="s">
        <v>4168</v>
      </c>
      <c r="V623" t="s">
        <v>259</v>
      </c>
      <c r="W623">
        <v>755</v>
      </c>
      <c r="X623" t="s">
        <v>4193</v>
      </c>
      <c r="Y623" t="s">
        <v>4200</v>
      </c>
      <c r="Z623" t="s">
        <v>4663</v>
      </c>
      <c r="AA623" t="s">
        <v>3526</v>
      </c>
      <c r="AB623" t="s">
        <v>6127</v>
      </c>
      <c r="AC623">
        <v>32</v>
      </c>
      <c r="AD623" t="s">
        <v>6772</v>
      </c>
      <c r="AE623" t="s">
        <v>3526</v>
      </c>
      <c r="AF623">
        <v>30</v>
      </c>
      <c r="AG623">
        <v>2</v>
      </c>
      <c r="AH623">
        <v>0</v>
      </c>
      <c r="AI623">
        <v>89.13</v>
      </c>
      <c r="AL623" t="s">
        <v>6801</v>
      </c>
      <c r="AM623">
        <v>15072</v>
      </c>
    </row>
    <row r="624" spans="1:44">
      <c r="A624" s="1">
        <f>HYPERLINK("https://lsnyc.legalserver.org/matter/dynamic-profile/view/1913993","19-1913993")</f>
        <v>0</v>
      </c>
      <c r="B624" t="s">
        <v>93</v>
      </c>
      <c r="C624" t="s">
        <v>263</v>
      </c>
      <c r="D624" t="s">
        <v>219</v>
      </c>
      <c r="E624" t="s">
        <v>818</v>
      </c>
      <c r="F624" t="s">
        <v>718</v>
      </c>
      <c r="G624" t="s">
        <v>2647</v>
      </c>
      <c r="H624" t="s">
        <v>3157</v>
      </c>
      <c r="I624" t="s">
        <v>3495</v>
      </c>
      <c r="J624">
        <v>10032</v>
      </c>
      <c r="K624" t="s">
        <v>3522</v>
      </c>
      <c r="L624" t="s">
        <v>3525</v>
      </c>
      <c r="N624" t="s">
        <v>4113</v>
      </c>
      <c r="O624" t="s">
        <v>4135</v>
      </c>
      <c r="P624" t="s">
        <v>4142</v>
      </c>
      <c r="Q624" t="s">
        <v>4147</v>
      </c>
      <c r="R624" t="s">
        <v>3523</v>
      </c>
      <c r="T624" t="s">
        <v>4156</v>
      </c>
      <c r="V624" t="s">
        <v>263</v>
      </c>
      <c r="W624">
        <v>950</v>
      </c>
      <c r="X624" t="s">
        <v>4196</v>
      </c>
      <c r="Y624" t="s">
        <v>4205</v>
      </c>
      <c r="Z624" t="s">
        <v>4766</v>
      </c>
      <c r="AB624" t="s">
        <v>6128</v>
      </c>
      <c r="AC624">
        <v>22</v>
      </c>
      <c r="AD624" t="s">
        <v>6772</v>
      </c>
      <c r="AE624" t="s">
        <v>3526</v>
      </c>
      <c r="AF624">
        <v>39</v>
      </c>
      <c r="AG624">
        <v>3</v>
      </c>
      <c r="AH624">
        <v>2</v>
      </c>
      <c r="AI624">
        <v>89.17</v>
      </c>
      <c r="AL624" t="s">
        <v>6802</v>
      </c>
      <c r="AM624">
        <v>26904</v>
      </c>
    </row>
    <row r="625" spans="1:44">
      <c r="A625" s="1">
        <f>HYPERLINK("https://lsnyc.legalserver.org/matter/dynamic-profile/view/1914142","19-1914142")</f>
        <v>0</v>
      </c>
      <c r="B625" t="s">
        <v>102</v>
      </c>
      <c r="C625" t="s">
        <v>191</v>
      </c>
      <c r="E625" t="s">
        <v>819</v>
      </c>
      <c r="F625" t="s">
        <v>1516</v>
      </c>
      <c r="G625" t="s">
        <v>2648</v>
      </c>
      <c r="H625" t="s">
        <v>3326</v>
      </c>
      <c r="I625" t="s">
        <v>3493</v>
      </c>
      <c r="J625">
        <v>10457</v>
      </c>
      <c r="K625" t="s">
        <v>3522</v>
      </c>
      <c r="L625" t="s">
        <v>3527</v>
      </c>
      <c r="M625" t="s">
        <v>3812</v>
      </c>
      <c r="N625" t="s">
        <v>4109</v>
      </c>
      <c r="O625" t="s">
        <v>4134</v>
      </c>
      <c r="Q625" t="s">
        <v>4147</v>
      </c>
      <c r="R625" t="s">
        <v>3523</v>
      </c>
      <c r="T625" t="s">
        <v>4156</v>
      </c>
      <c r="U625" t="s">
        <v>4167</v>
      </c>
      <c r="V625" t="s">
        <v>182</v>
      </c>
      <c r="W625">
        <v>1034</v>
      </c>
      <c r="X625" t="s">
        <v>4194</v>
      </c>
      <c r="Y625" t="s">
        <v>4210</v>
      </c>
      <c r="Z625" t="s">
        <v>4767</v>
      </c>
      <c r="AA625" t="s">
        <v>5593</v>
      </c>
      <c r="AB625" t="s">
        <v>6129</v>
      </c>
      <c r="AC625">
        <v>0</v>
      </c>
      <c r="AD625" t="s">
        <v>6778</v>
      </c>
      <c r="AE625" t="s">
        <v>6786</v>
      </c>
      <c r="AF625">
        <v>10</v>
      </c>
      <c r="AG625">
        <v>1</v>
      </c>
      <c r="AH625">
        <v>0</v>
      </c>
      <c r="AI625">
        <v>89.3</v>
      </c>
      <c r="AL625" t="s">
        <v>6802</v>
      </c>
      <c r="AM625">
        <v>11154</v>
      </c>
    </row>
    <row r="626" spans="1:44">
      <c r="A626" s="1">
        <f>HYPERLINK("https://lsnyc.legalserver.org/matter/dynamic-profile/view/1908992","19-1908992")</f>
        <v>0</v>
      </c>
      <c r="B626" t="s">
        <v>73</v>
      </c>
      <c r="C626" t="s">
        <v>304</v>
      </c>
      <c r="D626" t="s">
        <v>291</v>
      </c>
      <c r="E626" t="s">
        <v>450</v>
      </c>
      <c r="F626" t="s">
        <v>1681</v>
      </c>
      <c r="G626" t="s">
        <v>2649</v>
      </c>
      <c r="H626" t="s">
        <v>3159</v>
      </c>
      <c r="I626" t="s">
        <v>3493</v>
      </c>
      <c r="J626">
        <v>10457</v>
      </c>
      <c r="K626" t="s">
        <v>3522</v>
      </c>
      <c r="L626" t="s">
        <v>3525</v>
      </c>
      <c r="N626" t="s">
        <v>3554</v>
      </c>
      <c r="O626" t="s">
        <v>4135</v>
      </c>
      <c r="P626" t="s">
        <v>4139</v>
      </c>
      <c r="Q626" t="s">
        <v>4147</v>
      </c>
      <c r="R626" t="s">
        <v>3523</v>
      </c>
      <c r="T626" t="s">
        <v>4156</v>
      </c>
      <c r="V626" t="s">
        <v>201</v>
      </c>
      <c r="W626">
        <v>2268</v>
      </c>
      <c r="X626" t="s">
        <v>4194</v>
      </c>
      <c r="Y626" t="s">
        <v>4206</v>
      </c>
      <c r="Z626" t="s">
        <v>4768</v>
      </c>
      <c r="AB626" t="s">
        <v>6130</v>
      </c>
      <c r="AC626">
        <v>3</v>
      </c>
      <c r="AD626" t="s">
        <v>6771</v>
      </c>
      <c r="AE626" t="s">
        <v>6786</v>
      </c>
      <c r="AF626">
        <v>1</v>
      </c>
      <c r="AG626">
        <v>1</v>
      </c>
      <c r="AH626">
        <v>0</v>
      </c>
      <c r="AI626">
        <v>89.45</v>
      </c>
      <c r="AL626" t="s">
        <v>6802</v>
      </c>
      <c r="AM626">
        <v>11172</v>
      </c>
    </row>
    <row r="627" spans="1:44">
      <c r="A627" s="1">
        <f>HYPERLINK("https://lsnyc.legalserver.org/matter/dynamic-profile/view/1907026","19-1907026")</f>
        <v>0</v>
      </c>
      <c r="B627" t="s">
        <v>90</v>
      </c>
      <c r="C627" t="s">
        <v>244</v>
      </c>
      <c r="E627" t="s">
        <v>560</v>
      </c>
      <c r="F627" t="s">
        <v>1682</v>
      </c>
      <c r="G627" t="s">
        <v>2555</v>
      </c>
      <c r="H627">
        <v>21</v>
      </c>
      <c r="I627" t="s">
        <v>3495</v>
      </c>
      <c r="J627">
        <v>10034</v>
      </c>
      <c r="K627" t="s">
        <v>3522</v>
      </c>
      <c r="L627" t="s">
        <v>3527</v>
      </c>
      <c r="M627" t="s">
        <v>3813</v>
      </c>
      <c r="N627" t="s">
        <v>4109</v>
      </c>
      <c r="O627" t="s">
        <v>4135</v>
      </c>
      <c r="Q627" t="s">
        <v>4147</v>
      </c>
      <c r="R627" t="s">
        <v>3523</v>
      </c>
      <c r="T627" t="s">
        <v>4156</v>
      </c>
      <c r="V627" t="s">
        <v>222</v>
      </c>
      <c r="W627">
        <v>1717</v>
      </c>
      <c r="X627" t="s">
        <v>4196</v>
      </c>
      <c r="Y627" t="s">
        <v>4203</v>
      </c>
      <c r="Z627" t="s">
        <v>4769</v>
      </c>
      <c r="AA627" t="s">
        <v>5594</v>
      </c>
      <c r="AB627" t="s">
        <v>6131</v>
      </c>
      <c r="AC627">
        <v>28</v>
      </c>
      <c r="AD627" t="s">
        <v>6772</v>
      </c>
      <c r="AE627" t="s">
        <v>3526</v>
      </c>
      <c r="AF627">
        <v>1</v>
      </c>
      <c r="AG627">
        <v>2</v>
      </c>
      <c r="AH627">
        <v>1</v>
      </c>
      <c r="AI627">
        <v>89.45</v>
      </c>
      <c r="AL627" t="s">
        <v>6802</v>
      </c>
      <c r="AM627">
        <v>19080</v>
      </c>
    </row>
    <row r="628" spans="1:44">
      <c r="A628" s="1">
        <f>HYPERLINK("https://lsnyc.legalserver.org/matter/dynamic-profile/view/1912568","19-1912568")</f>
        <v>0</v>
      </c>
      <c r="B628" t="s">
        <v>44</v>
      </c>
      <c r="C628" t="s">
        <v>178</v>
      </c>
      <c r="D628" t="s">
        <v>381</v>
      </c>
      <c r="E628" t="s">
        <v>820</v>
      </c>
      <c r="F628" t="s">
        <v>1683</v>
      </c>
      <c r="G628" t="s">
        <v>2650</v>
      </c>
      <c r="H628" t="s">
        <v>3159</v>
      </c>
      <c r="I628" t="s">
        <v>3488</v>
      </c>
      <c r="J628">
        <v>11354</v>
      </c>
      <c r="K628" t="s">
        <v>3522</v>
      </c>
      <c r="L628" t="s">
        <v>3525</v>
      </c>
      <c r="M628" t="s">
        <v>3814</v>
      </c>
      <c r="N628" t="s">
        <v>4107</v>
      </c>
      <c r="O628" t="s">
        <v>4132</v>
      </c>
      <c r="P628" t="s">
        <v>4139</v>
      </c>
      <c r="Q628" t="s">
        <v>4147</v>
      </c>
      <c r="R628" t="s">
        <v>3523</v>
      </c>
      <c r="T628" t="s">
        <v>4156</v>
      </c>
      <c r="U628" t="s">
        <v>4168</v>
      </c>
      <c r="V628" t="s">
        <v>4174</v>
      </c>
      <c r="W628">
        <v>1600</v>
      </c>
      <c r="X628" t="s">
        <v>4192</v>
      </c>
      <c r="Y628" t="s">
        <v>4197</v>
      </c>
      <c r="Z628" t="s">
        <v>4770</v>
      </c>
      <c r="AA628" t="s">
        <v>5482</v>
      </c>
      <c r="AB628" t="s">
        <v>6132</v>
      </c>
      <c r="AC628">
        <v>2</v>
      </c>
      <c r="AD628" t="s">
        <v>6771</v>
      </c>
      <c r="AE628" t="s">
        <v>3526</v>
      </c>
      <c r="AF628">
        <v>4</v>
      </c>
      <c r="AG628">
        <v>2</v>
      </c>
      <c r="AH628">
        <v>3</v>
      </c>
      <c r="AI628">
        <v>89.48999999999999</v>
      </c>
      <c r="AL628" t="s">
        <v>6816</v>
      </c>
      <c r="AM628">
        <v>27000</v>
      </c>
    </row>
    <row r="629" spans="1:44">
      <c r="A629" s="1">
        <f>HYPERLINK("https://lsnyc.legalserver.org/matter/dynamic-profile/view/1914295","19-1914295")</f>
        <v>0</v>
      </c>
      <c r="B629" t="s">
        <v>107</v>
      </c>
      <c r="C629" t="s">
        <v>219</v>
      </c>
      <c r="D629" t="s">
        <v>182</v>
      </c>
      <c r="E629" t="s">
        <v>433</v>
      </c>
      <c r="F629" t="s">
        <v>1357</v>
      </c>
      <c r="G629" t="s">
        <v>2651</v>
      </c>
      <c r="H629" t="s">
        <v>3159</v>
      </c>
      <c r="I629" t="s">
        <v>3494</v>
      </c>
      <c r="J629">
        <v>10301</v>
      </c>
      <c r="K629" t="s">
        <v>3522</v>
      </c>
      <c r="L629" t="s">
        <v>3525</v>
      </c>
      <c r="M629" t="s">
        <v>3553</v>
      </c>
      <c r="N629" t="s">
        <v>3554</v>
      </c>
      <c r="O629" t="s">
        <v>4132</v>
      </c>
      <c r="P629" t="s">
        <v>4139</v>
      </c>
      <c r="Q629" t="s">
        <v>4147</v>
      </c>
      <c r="R629" t="s">
        <v>3523</v>
      </c>
      <c r="S629" t="s">
        <v>4147</v>
      </c>
      <c r="T629" t="s">
        <v>4156</v>
      </c>
      <c r="U629" t="s">
        <v>4168</v>
      </c>
      <c r="V629" t="s">
        <v>219</v>
      </c>
      <c r="W629">
        <v>2300</v>
      </c>
      <c r="X629" t="s">
        <v>4195</v>
      </c>
      <c r="Y629" t="s">
        <v>4202</v>
      </c>
      <c r="Z629" t="s">
        <v>4644</v>
      </c>
      <c r="AB629" t="s">
        <v>6133</v>
      </c>
      <c r="AC629">
        <v>2</v>
      </c>
      <c r="AD629" t="s">
        <v>6771</v>
      </c>
      <c r="AE629" t="s">
        <v>6786</v>
      </c>
      <c r="AF629">
        <v>2</v>
      </c>
      <c r="AG629">
        <v>4</v>
      </c>
      <c r="AH629">
        <v>0</v>
      </c>
      <c r="AI629">
        <v>89.8</v>
      </c>
      <c r="AL629" t="s">
        <v>6801</v>
      </c>
      <c r="AM629">
        <v>23124</v>
      </c>
      <c r="AP629" t="s">
        <v>4200</v>
      </c>
      <c r="AQ629" t="s">
        <v>6945</v>
      </c>
      <c r="AR629" t="s">
        <v>6988</v>
      </c>
    </row>
    <row r="630" spans="1:44">
      <c r="A630" s="1">
        <f>HYPERLINK("https://lsnyc.legalserver.org/matter/dynamic-profile/view/1906897","19-1906897")</f>
        <v>0</v>
      </c>
      <c r="B630" t="s">
        <v>150</v>
      </c>
      <c r="C630" t="s">
        <v>217</v>
      </c>
      <c r="D630" t="s">
        <v>230</v>
      </c>
      <c r="E630" t="s">
        <v>821</v>
      </c>
      <c r="F630" t="s">
        <v>1684</v>
      </c>
      <c r="G630" t="s">
        <v>2652</v>
      </c>
      <c r="H630" t="s">
        <v>3219</v>
      </c>
      <c r="I630" t="s">
        <v>3495</v>
      </c>
      <c r="J630">
        <v>10002</v>
      </c>
      <c r="K630" t="s">
        <v>3522</v>
      </c>
      <c r="L630" t="s">
        <v>3525</v>
      </c>
      <c r="N630" t="s">
        <v>3554</v>
      </c>
      <c r="O630" t="s">
        <v>4132</v>
      </c>
      <c r="P630" t="s">
        <v>4139</v>
      </c>
      <c r="Q630" t="s">
        <v>4147</v>
      </c>
      <c r="R630" t="s">
        <v>3523</v>
      </c>
      <c r="T630" t="s">
        <v>4156</v>
      </c>
      <c r="V630" t="s">
        <v>217</v>
      </c>
      <c r="W630">
        <v>947</v>
      </c>
      <c r="X630" t="s">
        <v>4196</v>
      </c>
      <c r="Y630" t="s">
        <v>4198</v>
      </c>
      <c r="Z630" t="s">
        <v>4771</v>
      </c>
      <c r="AB630" t="s">
        <v>6134</v>
      </c>
      <c r="AC630">
        <v>11</v>
      </c>
      <c r="AD630" t="s">
        <v>6772</v>
      </c>
      <c r="AE630" t="s">
        <v>6793</v>
      </c>
      <c r="AF630">
        <v>1</v>
      </c>
      <c r="AG630">
        <v>1</v>
      </c>
      <c r="AH630">
        <v>0</v>
      </c>
      <c r="AI630">
        <v>89.93000000000001</v>
      </c>
      <c r="AL630" t="s">
        <v>6816</v>
      </c>
      <c r="AM630">
        <v>11232</v>
      </c>
    </row>
    <row r="631" spans="1:44">
      <c r="A631" s="1">
        <f>HYPERLINK("https://lsnyc.legalserver.org/matter/dynamic-profile/view/1907469","19-1907469")</f>
        <v>0</v>
      </c>
      <c r="B631" t="s">
        <v>65</v>
      </c>
      <c r="C631" t="s">
        <v>185</v>
      </c>
      <c r="E631" t="s">
        <v>754</v>
      </c>
      <c r="F631" t="s">
        <v>1685</v>
      </c>
      <c r="G631" t="s">
        <v>2204</v>
      </c>
      <c r="H631" t="s">
        <v>3327</v>
      </c>
      <c r="I631" t="s">
        <v>3490</v>
      </c>
      <c r="J631">
        <v>11225</v>
      </c>
      <c r="K631" t="s">
        <v>3522</v>
      </c>
      <c r="L631" t="s">
        <v>3525</v>
      </c>
      <c r="N631" t="s">
        <v>4112</v>
      </c>
      <c r="O631" t="s">
        <v>4133</v>
      </c>
      <c r="Q631" t="s">
        <v>4147</v>
      </c>
      <c r="R631" t="s">
        <v>3522</v>
      </c>
      <c r="S631" t="s">
        <v>4149</v>
      </c>
      <c r="T631" t="s">
        <v>4156</v>
      </c>
      <c r="V631" t="s">
        <v>185</v>
      </c>
      <c r="W631">
        <v>0</v>
      </c>
      <c r="X631" t="s">
        <v>4193</v>
      </c>
      <c r="Z631" t="s">
        <v>4772</v>
      </c>
      <c r="AC631">
        <v>46</v>
      </c>
      <c r="AF631">
        <v>0</v>
      </c>
      <c r="AG631">
        <v>3</v>
      </c>
      <c r="AH631">
        <v>0</v>
      </c>
      <c r="AI631">
        <v>90.01000000000001</v>
      </c>
      <c r="AL631" t="s">
        <v>6801</v>
      </c>
      <c r="AM631">
        <v>19200</v>
      </c>
    </row>
    <row r="632" spans="1:44">
      <c r="A632" s="1">
        <f>HYPERLINK("https://lsnyc.legalserver.org/matter/dynamic-profile/view/1914511","19-1914511")</f>
        <v>0</v>
      </c>
      <c r="B632" t="s">
        <v>71</v>
      </c>
      <c r="C632" t="s">
        <v>273</v>
      </c>
      <c r="E632" t="s">
        <v>822</v>
      </c>
      <c r="F632" t="s">
        <v>1686</v>
      </c>
      <c r="G632" t="s">
        <v>2653</v>
      </c>
      <c r="H632">
        <v>3</v>
      </c>
      <c r="I632" t="s">
        <v>3490</v>
      </c>
      <c r="J632">
        <v>11208</v>
      </c>
      <c r="K632" t="s">
        <v>3522</v>
      </c>
      <c r="L632" t="s">
        <v>3525</v>
      </c>
      <c r="M632" t="s">
        <v>3562</v>
      </c>
      <c r="N632" t="s">
        <v>3554</v>
      </c>
      <c r="O632" t="s">
        <v>4132</v>
      </c>
      <c r="Q632" t="s">
        <v>4147</v>
      </c>
      <c r="R632" t="s">
        <v>3523</v>
      </c>
      <c r="T632" t="s">
        <v>4156</v>
      </c>
      <c r="U632" t="s">
        <v>4168</v>
      </c>
      <c r="V632" t="s">
        <v>191</v>
      </c>
      <c r="W632">
        <v>0</v>
      </c>
      <c r="X632" t="s">
        <v>4193</v>
      </c>
      <c r="Y632" t="s">
        <v>4200</v>
      </c>
      <c r="Z632" t="s">
        <v>4773</v>
      </c>
      <c r="AA632" t="s">
        <v>3562</v>
      </c>
      <c r="AC632">
        <v>3</v>
      </c>
      <c r="AD632" t="s">
        <v>6771</v>
      </c>
      <c r="AE632" t="s">
        <v>3526</v>
      </c>
      <c r="AF632">
        <v>0</v>
      </c>
      <c r="AG632">
        <v>2</v>
      </c>
      <c r="AH632">
        <v>1</v>
      </c>
      <c r="AI632">
        <v>90.01000000000001</v>
      </c>
      <c r="AL632" t="s">
        <v>6802</v>
      </c>
      <c r="AM632">
        <v>19200</v>
      </c>
      <c r="AN632" t="s">
        <v>6856</v>
      </c>
    </row>
    <row r="633" spans="1:44">
      <c r="A633" s="1">
        <f>HYPERLINK("https://lsnyc.legalserver.org/matter/dynamic-profile/view/1917222","19-1917222")</f>
        <v>0</v>
      </c>
      <c r="B633" t="s">
        <v>107</v>
      </c>
      <c r="C633" t="s">
        <v>332</v>
      </c>
      <c r="E633" t="s">
        <v>823</v>
      </c>
      <c r="F633" t="s">
        <v>1687</v>
      </c>
      <c r="G633" t="s">
        <v>2550</v>
      </c>
      <c r="H633" t="s">
        <v>3328</v>
      </c>
      <c r="I633" t="s">
        <v>3494</v>
      </c>
      <c r="J633">
        <v>10304</v>
      </c>
      <c r="K633" t="s">
        <v>3522</v>
      </c>
      <c r="L633" t="s">
        <v>3525</v>
      </c>
      <c r="N633" t="s">
        <v>4108</v>
      </c>
      <c r="Q633" t="s">
        <v>4147</v>
      </c>
      <c r="R633" t="s">
        <v>3522</v>
      </c>
      <c r="T633" t="s">
        <v>4161</v>
      </c>
      <c r="V633" t="s">
        <v>332</v>
      </c>
      <c r="W633">
        <v>0</v>
      </c>
      <c r="X633" t="s">
        <v>4195</v>
      </c>
      <c r="Y633" t="s">
        <v>4201</v>
      </c>
      <c r="Z633" t="s">
        <v>4774</v>
      </c>
      <c r="AB633" t="s">
        <v>6135</v>
      </c>
      <c r="AC633">
        <v>305</v>
      </c>
      <c r="AD633" t="s">
        <v>6778</v>
      </c>
      <c r="AE633" t="s">
        <v>6786</v>
      </c>
      <c r="AF633">
        <v>8</v>
      </c>
      <c r="AG633">
        <v>1</v>
      </c>
      <c r="AH633">
        <v>6</v>
      </c>
      <c r="AI633">
        <v>90.64</v>
      </c>
      <c r="AL633" t="s">
        <v>6801</v>
      </c>
      <c r="AM633">
        <v>35360.04</v>
      </c>
    </row>
    <row r="634" spans="1:44">
      <c r="A634" s="1">
        <f>HYPERLINK("https://lsnyc.legalserver.org/matter/dynamic-profile/view/1914480","19-1914480")</f>
        <v>0</v>
      </c>
      <c r="B634" t="s">
        <v>75</v>
      </c>
      <c r="C634" t="s">
        <v>289</v>
      </c>
      <c r="D634" t="s">
        <v>273</v>
      </c>
      <c r="E634" t="s">
        <v>455</v>
      </c>
      <c r="F634" t="s">
        <v>1446</v>
      </c>
      <c r="G634" t="s">
        <v>2654</v>
      </c>
      <c r="H634" t="s">
        <v>3183</v>
      </c>
      <c r="I634" t="s">
        <v>3493</v>
      </c>
      <c r="J634">
        <v>10452</v>
      </c>
      <c r="K634" t="s">
        <v>3522</v>
      </c>
      <c r="L634" t="s">
        <v>3525</v>
      </c>
      <c r="M634" t="s">
        <v>3815</v>
      </c>
      <c r="N634" t="s">
        <v>4119</v>
      </c>
      <c r="O634" t="s">
        <v>4132</v>
      </c>
      <c r="P634" t="s">
        <v>4139</v>
      </c>
      <c r="Q634" t="s">
        <v>4147</v>
      </c>
      <c r="R634" t="s">
        <v>3523</v>
      </c>
      <c r="T634" t="s">
        <v>4159</v>
      </c>
      <c r="U634" t="s">
        <v>4167</v>
      </c>
      <c r="V634" t="s">
        <v>269</v>
      </c>
      <c r="W634">
        <v>1350</v>
      </c>
      <c r="X634" t="s">
        <v>4194</v>
      </c>
      <c r="Z634" t="s">
        <v>4775</v>
      </c>
      <c r="AA634">
        <v>6050360</v>
      </c>
      <c r="AB634" t="s">
        <v>6136</v>
      </c>
      <c r="AC634">
        <v>3</v>
      </c>
      <c r="AD634" t="s">
        <v>6771</v>
      </c>
      <c r="AE634" t="s">
        <v>6786</v>
      </c>
      <c r="AF634">
        <v>1</v>
      </c>
      <c r="AG634">
        <v>1</v>
      </c>
      <c r="AH634">
        <v>0</v>
      </c>
      <c r="AI634">
        <v>91.18000000000001</v>
      </c>
      <c r="AL634" t="s">
        <v>6801</v>
      </c>
      <c r="AM634">
        <v>11388</v>
      </c>
    </row>
    <row r="635" spans="1:44">
      <c r="A635" s="1">
        <f>HYPERLINK("https://lsnyc.legalserver.org/matter/dynamic-profile/view/1912442","19-1912442")</f>
        <v>0</v>
      </c>
      <c r="B635" t="s">
        <v>45</v>
      </c>
      <c r="C635" t="s">
        <v>295</v>
      </c>
      <c r="E635" t="s">
        <v>824</v>
      </c>
      <c r="F635" t="s">
        <v>1688</v>
      </c>
      <c r="G635" t="s">
        <v>2165</v>
      </c>
      <c r="H635" t="s">
        <v>3161</v>
      </c>
      <c r="I635" t="s">
        <v>3479</v>
      </c>
      <c r="J635">
        <v>11691</v>
      </c>
      <c r="K635" t="s">
        <v>3522</v>
      </c>
      <c r="L635" t="s">
        <v>3525</v>
      </c>
      <c r="M635" t="s">
        <v>3679</v>
      </c>
      <c r="N635" t="s">
        <v>4108</v>
      </c>
      <c r="O635" t="s">
        <v>4134</v>
      </c>
      <c r="Q635" t="s">
        <v>4147</v>
      </c>
      <c r="R635" t="s">
        <v>3523</v>
      </c>
      <c r="T635" t="s">
        <v>4156</v>
      </c>
      <c r="U635" t="s">
        <v>4168</v>
      </c>
      <c r="V635" t="s">
        <v>295</v>
      </c>
      <c r="W635">
        <v>675</v>
      </c>
      <c r="X635" t="s">
        <v>4192</v>
      </c>
      <c r="Y635" t="s">
        <v>4198</v>
      </c>
      <c r="Z635" t="s">
        <v>4776</v>
      </c>
      <c r="AB635" t="s">
        <v>6137</v>
      </c>
      <c r="AC635">
        <v>43</v>
      </c>
      <c r="AD635" t="s">
        <v>6772</v>
      </c>
      <c r="AE635" t="s">
        <v>3526</v>
      </c>
      <c r="AF635">
        <v>8</v>
      </c>
      <c r="AG635">
        <v>1</v>
      </c>
      <c r="AH635">
        <v>0</v>
      </c>
      <c r="AI635">
        <v>91.27</v>
      </c>
      <c r="AL635" t="s">
        <v>6801</v>
      </c>
      <c r="AM635">
        <v>11400</v>
      </c>
      <c r="AP635" t="s">
        <v>4200</v>
      </c>
    </row>
    <row r="636" spans="1:44">
      <c r="A636" s="1">
        <f>HYPERLINK("https://lsnyc.legalserver.org/matter/dynamic-profile/view/1906355","19-1906355")</f>
        <v>0</v>
      </c>
      <c r="B636" t="s">
        <v>143</v>
      </c>
      <c r="C636" t="s">
        <v>250</v>
      </c>
      <c r="E636" t="s">
        <v>825</v>
      </c>
      <c r="F636" t="s">
        <v>1436</v>
      </c>
      <c r="G636" t="s">
        <v>2655</v>
      </c>
      <c r="H636">
        <v>3</v>
      </c>
      <c r="I636" t="s">
        <v>3494</v>
      </c>
      <c r="J636">
        <v>10301</v>
      </c>
      <c r="K636" t="s">
        <v>3522</v>
      </c>
      <c r="L636" t="s">
        <v>3525</v>
      </c>
      <c r="M636" t="s">
        <v>3816</v>
      </c>
      <c r="N636" t="s">
        <v>4107</v>
      </c>
      <c r="O636" t="s">
        <v>4134</v>
      </c>
      <c r="Q636" t="s">
        <v>4147</v>
      </c>
      <c r="R636" t="s">
        <v>3523</v>
      </c>
      <c r="T636" t="s">
        <v>4156</v>
      </c>
      <c r="U636" t="s">
        <v>4168</v>
      </c>
      <c r="V636" t="s">
        <v>320</v>
      </c>
      <c r="W636">
        <v>675</v>
      </c>
      <c r="X636" t="s">
        <v>4195</v>
      </c>
      <c r="Y636" t="s">
        <v>4203</v>
      </c>
      <c r="Z636" t="s">
        <v>4777</v>
      </c>
      <c r="AB636" t="s">
        <v>6138</v>
      </c>
      <c r="AC636">
        <v>2</v>
      </c>
      <c r="AD636" t="s">
        <v>6771</v>
      </c>
      <c r="AE636" t="s">
        <v>3526</v>
      </c>
      <c r="AF636">
        <v>-1</v>
      </c>
      <c r="AG636">
        <v>2</v>
      </c>
      <c r="AH636">
        <v>1</v>
      </c>
      <c r="AI636">
        <v>91.42</v>
      </c>
      <c r="AL636" t="s">
        <v>6801</v>
      </c>
      <c r="AM636">
        <v>19500</v>
      </c>
    </row>
    <row r="637" spans="1:44">
      <c r="A637" s="1">
        <f>HYPERLINK("https://lsnyc.legalserver.org/matter/dynamic-profile/view/1912121","19-1912121")</f>
        <v>0</v>
      </c>
      <c r="B637" t="s">
        <v>79</v>
      </c>
      <c r="C637" t="s">
        <v>333</v>
      </c>
      <c r="E637" t="s">
        <v>826</v>
      </c>
      <c r="F637" t="s">
        <v>1496</v>
      </c>
      <c r="G637" t="s">
        <v>2368</v>
      </c>
      <c r="H637" t="s">
        <v>3241</v>
      </c>
      <c r="I637" t="s">
        <v>3493</v>
      </c>
      <c r="J637">
        <v>10453</v>
      </c>
      <c r="K637" t="s">
        <v>3522</v>
      </c>
      <c r="L637" t="s">
        <v>3525</v>
      </c>
      <c r="M637" t="s">
        <v>3817</v>
      </c>
      <c r="N637" t="s">
        <v>4109</v>
      </c>
      <c r="O637" t="s">
        <v>4134</v>
      </c>
      <c r="Q637" t="s">
        <v>4147</v>
      </c>
      <c r="R637" t="s">
        <v>3523</v>
      </c>
      <c r="T637" t="s">
        <v>4156</v>
      </c>
      <c r="U637" t="s">
        <v>4168</v>
      </c>
      <c r="V637" t="s">
        <v>238</v>
      </c>
      <c r="W637">
        <v>1172</v>
      </c>
      <c r="X637" t="s">
        <v>4194</v>
      </c>
      <c r="Y637" t="s">
        <v>4206</v>
      </c>
      <c r="Z637" t="s">
        <v>4491</v>
      </c>
      <c r="AB637" t="s">
        <v>5878</v>
      </c>
      <c r="AC637">
        <v>170</v>
      </c>
      <c r="AD637" t="s">
        <v>6772</v>
      </c>
      <c r="AE637" t="s">
        <v>3526</v>
      </c>
      <c r="AF637">
        <v>16</v>
      </c>
      <c r="AG637">
        <v>2</v>
      </c>
      <c r="AH637">
        <v>3</v>
      </c>
      <c r="AI637">
        <v>91.87</v>
      </c>
      <c r="AL637" t="s">
        <v>6802</v>
      </c>
      <c r="AM637">
        <v>27716</v>
      </c>
    </row>
    <row r="638" spans="1:44">
      <c r="A638" s="1">
        <f>HYPERLINK("https://lsnyc.legalserver.org/matter/dynamic-profile/view/1910702","19-1910702")</f>
        <v>0</v>
      </c>
      <c r="B638" t="s">
        <v>47</v>
      </c>
      <c r="C638" t="s">
        <v>257</v>
      </c>
      <c r="E638" t="s">
        <v>827</v>
      </c>
      <c r="F638" t="s">
        <v>723</v>
      </c>
      <c r="G638" t="s">
        <v>2656</v>
      </c>
      <c r="H638" t="s">
        <v>3127</v>
      </c>
      <c r="I638" t="s">
        <v>3488</v>
      </c>
      <c r="J638">
        <v>11355</v>
      </c>
      <c r="K638" t="s">
        <v>3522</v>
      </c>
      <c r="L638" t="s">
        <v>3525</v>
      </c>
      <c r="M638" t="s">
        <v>3818</v>
      </c>
      <c r="N638" t="s">
        <v>4107</v>
      </c>
      <c r="O638" t="s">
        <v>4132</v>
      </c>
      <c r="Q638" t="s">
        <v>4147</v>
      </c>
      <c r="R638" t="s">
        <v>3523</v>
      </c>
      <c r="T638" t="s">
        <v>4156</v>
      </c>
      <c r="V638" t="s">
        <v>257</v>
      </c>
      <c r="W638">
        <v>1500</v>
      </c>
      <c r="X638" t="s">
        <v>4192</v>
      </c>
      <c r="Y638" t="s">
        <v>4197</v>
      </c>
      <c r="Z638" t="s">
        <v>4778</v>
      </c>
      <c r="AB638" t="s">
        <v>6139</v>
      </c>
      <c r="AC638">
        <v>2</v>
      </c>
      <c r="AD638" t="s">
        <v>5524</v>
      </c>
      <c r="AE638" t="s">
        <v>3526</v>
      </c>
      <c r="AF638">
        <v>19</v>
      </c>
      <c r="AG638">
        <v>3</v>
      </c>
      <c r="AH638">
        <v>0</v>
      </c>
      <c r="AI638">
        <v>92.17</v>
      </c>
      <c r="AL638" t="s">
        <v>6801</v>
      </c>
      <c r="AM638">
        <v>19660</v>
      </c>
    </row>
    <row r="639" spans="1:44">
      <c r="A639" s="1">
        <f>HYPERLINK("https://lsnyc.legalserver.org/matter/dynamic-profile/view/1910958","19-1910958")</f>
        <v>0</v>
      </c>
      <c r="B639" t="s">
        <v>55</v>
      </c>
      <c r="C639" t="s">
        <v>198</v>
      </c>
      <c r="E639" t="s">
        <v>828</v>
      </c>
      <c r="F639" t="s">
        <v>1689</v>
      </c>
      <c r="G639" t="s">
        <v>2657</v>
      </c>
      <c r="I639" t="s">
        <v>3490</v>
      </c>
      <c r="J639">
        <v>11208</v>
      </c>
      <c r="K639" t="s">
        <v>3522</v>
      </c>
      <c r="L639" t="s">
        <v>3527</v>
      </c>
      <c r="M639" t="s">
        <v>3819</v>
      </c>
      <c r="N639" t="s">
        <v>4109</v>
      </c>
      <c r="O639" t="s">
        <v>4134</v>
      </c>
      <c r="Q639" t="s">
        <v>4147</v>
      </c>
      <c r="R639" t="s">
        <v>3523</v>
      </c>
      <c r="T639" t="s">
        <v>4156</v>
      </c>
      <c r="U639" t="s">
        <v>4168</v>
      </c>
      <c r="V639" t="s">
        <v>177</v>
      </c>
      <c r="W639">
        <v>1600</v>
      </c>
      <c r="X639" t="s">
        <v>4193</v>
      </c>
      <c r="Y639" t="s">
        <v>4203</v>
      </c>
      <c r="Z639" t="s">
        <v>4779</v>
      </c>
      <c r="AA639" t="s">
        <v>5595</v>
      </c>
      <c r="AB639" t="s">
        <v>6140</v>
      </c>
      <c r="AC639">
        <v>2</v>
      </c>
      <c r="AD639" t="s">
        <v>6771</v>
      </c>
      <c r="AE639" t="s">
        <v>3526</v>
      </c>
      <c r="AF639">
        <v>0</v>
      </c>
      <c r="AG639">
        <v>2</v>
      </c>
      <c r="AH639">
        <v>0</v>
      </c>
      <c r="AI639">
        <v>92.25</v>
      </c>
      <c r="AL639" t="s">
        <v>6802</v>
      </c>
      <c r="AM639">
        <v>15600</v>
      </c>
    </row>
    <row r="640" spans="1:44">
      <c r="A640" s="1">
        <f>HYPERLINK("https://lsnyc.legalserver.org/matter/dynamic-profile/view/1910130","19-1910130")</f>
        <v>0</v>
      </c>
      <c r="B640" t="s">
        <v>73</v>
      </c>
      <c r="C640" t="s">
        <v>230</v>
      </c>
      <c r="D640" t="s">
        <v>291</v>
      </c>
      <c r="E640" t="s">
        <v>829</v>
      </c>
      <c r="F640" t="s">
        <v>1537</v>
      </c>
      <c r="G640" t="s">
        <v>2658</v>
      </c>
      <c r="H640" t="s">
        <v>3329</v>
      </c>
      <c r="I640" t="s">
        <v>3493</v>
      </c>
      <c r="J640">
        <v>10452</v>
      </c>
      <c r="K640" t="s">
        <v>3522</v>
      </c>
      <c r="L640" t="s">
        <v>3525</v>
      </c>
      <c r="N640" t="s">
        <v>3554</v>
      </c>
      <c r="O640" t="s">
        <v>4132</v>
      </c>
      <c r="P640" t="s">
        <v>4139</v>
      </c>
      <c r="Q640" t="s">
        <v>4147</v>
      </c>
      <c r="R640" t="s">
        <v>3523</v>
      </c>
      <c r="T640" t="s">
        <v>4156</v>
      </c>
      <c r="V640" t="s">
        <v>201</v>
      </c>
      <c r="W640">
        <v>640</v>
      </c>
      <c r="X640" t="s">
        <v>4194</v>
      </c>
      <c r="Y640" t="s">
        <v>4206</v>
      </c>
      <c r="Z640" t="s">
        <v>4780</v>
      </c>
      <c r="AC640">
        <v>59</v>
      </c>
      <c r="AD640" t="s">
        <v>6784</v>
      </c>
      <c r="AE640" t="s">
        <v>3526</v>
      </c>
      <c r="AF640">
        <v>1</v>
      </c>
      <c r="AG640">
        <v>1</v>
      </c>
      <c r="AH640">
        <v>1</v>
      </c>
      <c r="AI640">
        <v>92.25</v>
      </c>
      <c r="AL640" t="s">
        <v>6802</v>
      </c>
      <c r="AM640">
        <v>15600</v>
      </c>
    </row>
    <row r="641" spans="1:44">
      <c r="A641" s="1">
        <f>HYPERLINK("https://lsnyc.legalserver.org/matter/dynamic-profile/view/1905507","19-1905507")</f>
        <v>0</v>
      </c>
      <c r="B641" t="s">
        <v>143</v>
      </c>
      <c r="C641" t="s">
        <v>312</v>
      </c>
      <c r="D641" t="s">
        <v>291</v>
      </c>
      <c r="E641" t="s">
        <v>830</v>
      </c>
      <c r="F641" t="s">
        <v>1690</v>
      </c>
      <c r="G641" t="s">
        <v>2659</v>
      </c>
      <c r="H641" t="s">
        <v>3330</v>
      </c>
      <c r="I641" t="s">
        <v>3494</v>
      </c>
      <c r="J641">
        <v>10304</v>
      </c>
      <c r="K641" t="s">
        <v>3522</v>
      </c>
      <c r="L641" t="s">
        <v>3525</v>
      </c>
      <c r="M641" t="s">
        <v>3820</v>
      </c>
      <c r="N641" t="s">
        <v>4109</v>
      </c>
      <c r="O641" t="s">
        <v>4134</v>
      </c>
      <c r="P641" t="s">
        <v>4140</v>
      </c>
      <c r="Q641" t="s">
        <v>4147</v>
      </c>
      <c r="R641" t="s">
        <v>3523</v>
      </c>
      <c r="T641" t="s">
        <v>4156</v>
      </c>
      <c r="U641" t="s">
        <v>4168</v>
      </c>
      <c r="V641" t="s">
        <v>312</v>
      </c>
      <c r="W641">
        <v>500</v>
      </c>
      <c r="X641" t="s">
        <v>4195</v>
      </c>
      <c r="Y641" t="s">
        <v>4203</v>
      </c>
      <c r="Z641" t="s">
        <v>4781</v>
      </c>
      <c r="AB641" t="s">
        <v>6141</v>
      </c>
      <c r="AC641">
        <v>361</v>
      </c>
      <c r="AD641" t="s">
        <v>6772</v>
      </c>
      <c r="AE641" t="s">
        <v>3526</v>
      </c>
      <c r="AF641">
        <v>11</v>
      </c>
      <c r="AG641">
        <v>1</v>
      </c>
      <c r="AH641">
        <v>1</v>
      </c>
      <c r="AI641">
        <v>92.25</v>
      </c>
      <c r="AL641" t="s">
        <v>6801</v>
      </c>
      <c r="AM641">
        <v>15600</v>
      </c>
    </row>
    <row r="642" spans="1:44">
      <c r="A642" s="1">
        <f>HYPERLINK("https://lsnyc.legalserver.org/matter/dynamic-profile/view/1914154","19-1914154")</f>
        <v>0</v>
      </c>
      <c r="B642" t="s">
        <v>92</v>
      </c>
      <c r="C642" t="s">
        <v>191</v>
      </c>
      <c r="E642" t="s">
        <v>831</v>
      </c>
      <c r="F642" t="s">
        <v>1691</v>
      </c>
      <c r="G642" t="s">
        <v>2660</v>
      </c>
      <c r="H642" t="s">
        <v>3195</v>
      </c>
      <c r="I642" t="s">
        <v>3495</v>
      </c>
      <c r="J642">
        <v>10034</v>
      </c>
      <c r="K642" t="s">
        <v>3522</v>
      </c>
      <c r="L642" t="s">
        <v>3525</v>
      </c>
      <c r="O642" t="s">
        <v>4136</v>
      </c>
      <c r="Q642" t="s">
        <v>4147</v>
      </c>
      <c r="R642" t="s">
        <v>3523</v>
      </c>
      <c r="T642" t="s">
        <v>4156</v>
      </c>
      <c r="V642" t="s">
        <v>191</v>
      </c>
      <c r="W642">
        <v>1670</v>
      </c>
      <c r="X642" t="s">
        <v>4196</v>
      </c>
      <c r="Y642" t="s">
        <v>4205</v>
      </c>
      <c r="Z642" t="s">
        <v>4782</v>
      </c>
      <c r="AC642">
        <v>61</v>
      </c>
      <c r="AD642" t="s">
        <v>6772</v>
      </c>
      <c r="AE642" t="s">
        <v>3526</v>
      </c>
      <c r="AF642">
        <v>5</v>
      </c>
      <c r="AG642">
        <v>1</v>
      </c>
      <c r="AH642">
        <v>1</v>
      </c>
      <c r="AI642">
        <v>92.25</v>
      </c>
      <c r="AL642" t="s">
        <v>6801</v>
      </c>
      <c r="AM642">
        <v>15600</v>
      </c>
    </row>
    <row r="643" spans="1:44">
      <c r="A643" s="1">
        <f>HYPERLINK("https://lsnyc.legalserver.org/matter/dynamic-profile/view/1908656","19-1908656")</f>
        <v>0</v>
      </c>
      <c r="B643" t="s">
        <v>94</v>
      </c>
      <c r="C643" t="s">
        <v>205</v>
      </c>
      <c r="D643" t="s">
        <v>240</v>
      </c>
      <c r="E643" t="s">
        <v>832</v>
      </c>
      <c r="F643" t="s">
        <v>1692</v>
      </c>
      <c r="G643" t="s">
        <v>2396</v>
      </c>
      <c r="H643" t="s">
        <v>3331</v>
      </c>
      <c r="I643" t="s">
        <v>3495</v>
      </c>
      <c r="J643">
        <v>10035</v>
      </c>
      <c r="K643" t="s">
        <v>3522</v>
      </c>
      <c r="L643" t="s">
        <v>3525</v>
      </c>
      <c r="N643" t="s">
        <v>3554</v>
      </c>
      <c r="O643" t="s">
        <v>4135</v>
      </c>
      <c r="P643" t="s">
        <v>4142</v>
      </c>
      <c r="Q643" t="s">
        <v>4147</v>
      </c>
      <c r="R643" t="s">
        <v>3522</v>
      </c>
      <c r="T643" t="s">
        <v>4156</v>
      </c>
      <c r="U643" t="s">
        <v>4168</v>
      </c>
      <c r="V643" t="s">
        <v>205</v>
      </c>
      <c r="W643">
        <v>1883.38</v>
      </c>
      <c r="X643" t="s">
        <v>4196</v>
      </c>
      <c r="Y643" t="s">
        <v>4198</v>
      </c>
      <c r="Z643" t="s">
        <v>4783</v>
      </c>
      <c r="AB643" t="s">
        <v>6142</v>
      </c>
      <c r="AC643">
        <v>72</v>
      </c>
      <c r="AD643" t="s">
        <v>6772</v>
      </c>
      <c r="AE643" t="s">
        <v>6786</v>
      </c>
      <c r="AF643">
        <v>36</v>
      </c>
      <c r="AG643">
        <v>1</v>
      </c>
      <c r="AH643">
        <v>0</v>
      </c>
      <c r="AI643">
        <v>92.52</v>
      </c>
      <c r="AL643" t="s">
        <v>6801</v>
      </c>
      <c r="AM643">
        <v>11556</v>
      </c>
    </row>
    <row r="644" spans="1:44">
      <c r="A644" s="1">
        <f>HYPERLINK("https://lsnyc.legalserver.org/matter/dynamic-profile/view/1912268","19-1912268")</f>
        <v>0</v>
      </c>
      <c r="B644" t="s">
        <v>89</v>
      </c>
      <c r="C644" t="s">
        <v>256</v>
      </c>
      <c r="E644" t="s">
        <v>833</v>
      </c>
      <c r="F644" t="s">
        <v>1693</v>
      </c>
      <c r="G644" t="s">
        <v>2431</v>
      </c>
      <c r="H644">
        <v>1</v>
      </c>
      <c r="I644" t="s">
        <v>3495</v>
      </c>
      <c r="J644">
        <v>10033</v>
      </c>
      <c r="K644" t="s">
        <v>3522</v>
      </c>
      <c r="L644" t="s">
        <v>3525</v>
      </c>
      <c r="N644" t="s">
        <v>4129</v>
      </c>
      <c r="O644" t="s">
        <v>4134</v>
      </c>
      <c r="Q644" t="s">
        <v>4147</v>
      </c>
      <c r="R644" t="s">
        <v>3523</v>
      </c>
      <c r="T644" t="s">
        <v>4156</v>
      </c>
      <c r="V644" t="s">
        <v>256</v>
      </c>
      <c r="W644">
        <v>0</v>
      </c>
      <c r="X644" t="s">
        <v>4196</v>
      </c>
      <c r="Y644" t="s">
        <v>4201</v>
      </c>
      <c r="Z644" t="s">
        <v>4784</v>
      </c>
      <c r="AB644" t="s">
        <v>6143</v>
      </c>
      <c r="AC644">
        <v>20</v>
      </c>
      <c r="AD644" t="s">
        <v>6772</v>
      </c>
      <c r="AE644" t="s">
        <v>6791</v>
      </c>
      <c r="AF644">
        <v>29</v>
      </c>
      <c r="AG644">
        <v>2</v>
      </c>
      <c r="AH644">
        <v>0</v>
      </c>
      <c r="AI644">
        <v>92.54000000000001</v>
      </c>
      <c r="AL644" t="s">
        <v>6802</v>
      </c>
      <c r="AM644">
        <v>15648</v>
      </c>
    </row>
    <row r="645" spans="1:44">
      <c r="A645" s="1">
        <f>HYPERLINK("https://lsnyc.legalserver.org/matter/dynamic-profile/view/1909027","19-1909027")</f>
        <v>0</v>
      </c>
      <c r="B645" t="s">
        <v>89</v>
      </c>
      <c r="C645" t="s">
        <v>275</v>
      </c>
      <c r="E645" t="s">
        <v>833</v>
      </c>
      <c r="F645" t="s">
        <v>1693</v>
      </c>
      <c r="G645" t="s">
        <v>2431</v>
      </c>
      <c r="H645">
        <v>1</v>
      </c>
      <c r="I645" t="s">
        <v>3495</v>
      </c>
      <c r="J645">
        <v>10033</v>
      </c>
      <c r="K645" t="s">
        <v>3522</v>
      </c>
      <c r="L645" t="s">
        <v>3525</v>
      </c>
      <c r="O645" t="s">
        <v>4136</v>
      </c>
      <c r="Q645" t="s">
        <v>4147</v>
      </c>
      <c r="R645" t="s">
        <v>3522</v>
      </c>
      <c r="T645" t="s">
        <v>4156</v>
      </c>
      <c r="V645" t="s">
        <v>275</v>
      </c>
      <c r="W645">
        <v>0</v>
      </c>
      <c r="X645" t="s">
        <v>4196</v>
      </c>
      <c r="Y645" t="s">
        <v>4201</v>
      </c>
      <c r="Z645" t="s">
        <v>4784</v>
      </c>
      <c r="AB645" t="s">
        <v>6143</v>
      </c>
      <c r="AC645">
        <v>20</v>
      </c>
      <c r="AD645" t="s">
        <v>6772</v>
      </c>
      <c r="AE645" t="s">
        <v>6791</v>
      </c>
      <c r="AF645">
        <v>2</v>
      </c>
      <c r="AG645">
        <v>2</v>
      </c>
      <c r="AH645">
        <v>0</v>
      </c>
      <c r="AI645">
        <v>92.54000000000001</v>
      </c>
      <c r="AL645" t="s">
        <v>6802</v>
      </c>
      <c r="AM645">
        <v>15648</v>
      </c>
    </row>
    <row r="646" spans="1:44">
      <c r="A646" s="1">
        <f>HYPERLINK("https://lsnyc.legalserver.org/matter/dynamic-profile/view/1905354","19-1905354")</f>
        <v>0</v>
      </c>
      <c r="B646" t="s">
        <v>79</v>
      </c>
      <c r="C646" t="s">
        <v>264</v>
      </c>
      <c r="E646" t="s">
        <v>834</v>
      </c>
      <c r="F646" t="s">
        <v>1327</v>
      </c>
      <c r="G646" t="s">
        <v>2661</v>
      </c>
      <c r="H646" t="s">
        <v>3332</v>
      </c>
      <c r="I646" t="s">
        <v>3493</v>
      </c>
      <c r="J646">
        <v>10459</v>
      </c>
      <c r="K646" t="s">
        <v>3522</v>
      </c>
      <c r="L646" t="s">
        <v>3527</v>
      </c>
      <c r="M646" t="s">
        <v>3821</v>
      </c>
      <c r="N646" t="s">
        <v>4107</v>
      </c>
      <c r="O646" t="s">
        <v>4134</v>
      </c>
      <c r="Q646" t="s">
        <v>4147</v>
      </c>
      <c r="R646" t="s">
        <v>3523</v>
      </c>
      <c r="T646" t="s">
        <v>4156</v>
      </c>
      <c r="V646" t="s">
        <v>279</v>
      </c>
      <c r="W646">
        <v>833</v>
      </c>
      <c r="X646" t="s">
        <v>4194</v>
      </c>
      <c r="Y646" t="s">
        <v>4200</v>
      </c>
      <c r="Z646" t="s">
        <v>4785</v>
      </c>
      <c r="AA646" t="s">
        <v>5596</v>
      </c>
      <c r="AB646" t="s">
        <v>6144</v>
      </c>
      <c r="AC646">
        <v>67</v>
      </c>
      <c r="AD646" t="s">
        <v>6772</v>
      </c>
      <c r="AE646" t="s">
        <v>3526</v>
      </c>
      <c r="AF646">
        <v>14</v>
      </c>
      <c r="AG646">
        <v>3</v>
      </c>
      <c r="AH646">
        <v>0</v>
      </c>
      <c r="AI646">
        <v>92.70999999999999</v>
      </c>
      <c r="AL646" t="s">
        <v>6802</v>
      </c>
      <c r="AM646">
        <v>19776</v>
      </c>
    </row>
    <row r="647" spans="1:44">
      <c r="A647" s="1">
        <f>HYPERLINK("https://lsnyc.legalserver.org/matter/dynamic-profile/view/1909031","19-1909031")</f>
        <v>0</v>
      </c>
      <c r="B647" t="s">
        <v>83</v>
      </c>
      <c r="C647" t="s">
        <v>275</v>
      </c>
      <c r="D647" t="s">
        <v>213</v>
      </c>
      <c r="E647" t="s">
        <v>835</v>
      </c>
      <c r="F647" t="s">
        <v>1694</v>
      </c>
      <c r="G647" t="s">
        <v>2662</v>
      </c>
      <c r="H647" t="s">
        <v>3216</v>
      </c>
      <c r="I647" t="s">
        <v>3493</v>
      </c>
      <c r="J647">
        <v>10452</v>
      </c>
      <c r="K647" t="s">
        <v>3522</v>
      </c>
      <c r="L647" t="s">
        <v>3525</v>
      </c>
      <c r="M647" t="s">
        <v>3822</v>
      </c>
      <c r="N647" t="s">
        <v>4108</v>
      </c>
      <c r="O647" t="s">
        <v>4134</v>
      </c>
      <c r="P647" t="s">
        <v>4140</v>
      </c>
      <c r="Q647" t="s">
        <v>4147</v>
      </c>
      <c r="R647" t="s">
        <v>3523</v>
      </c>
      <c r="T647" t="s">
        <v>4156</v>
      </c>
      <c r="U647" t="s">
        <v>4168</v>
      </c>
      <c r="V647" t="s">
        <v>375</v>
      </c>
      <c r="W647">
        <v>1024.89</v>
      </c>
      <c r="X647" t="s">
        <v>4194</v>
      </c>
      <c r="Y647" t="s">
        <v>4201</v>
      </c>
      <c r="Z647" t="s">
        <v>4786</v>
      </c>
      <c r="AB647" t="s">
        <v>5482</v>
      </c>
      <c r="AC647">
        <v>41</v>
      </c>
      <c r="AD647" t="s">
        <v>6772</v>
      </c>
      <c r="AE647" t="s">
        <v>3526</v>
      </c>
      <c r="AF647">
        <v>12</v>
      </c>
      <c r="AG647">
        <v>1</v>
      </c>
      <c r="AH647">
        <v>0</v>
      </c>
      <c r="AI647">
        <v>92.91</v>
      </c>
      <c r="AL647" t="s">
        <v>6802</v>
      </c>
      <c r="AM647">
        <v>11604</v>
      </c>
    </row>
    <row r="648" spans="1:44">
      <c r="A648" s="1">
        <f>HYPERLINK("https://lsnyc.legalserver.org/matter/dynamic-profile/view/1905129","19-1905129")</f>
        <v>0</v>
      </c>
      <c r="B648" t="s">
        <v>52</v>
      </c>
      <c r="C648" t="s">
        <v>216</v>
      </c>
      <c r="E648" t="s">
        <v>836</v>
      </c>
      <c r="F648" t="s">
        <v>1695</v>
      </c>
      <c r="G648" t="s">
        <v>2663</v>
      </c>
      <c r="H648" t="s">
        <v>3333</v>
      </c>
      <c r="I648" t="s">
        <v>3490</v>
      </c>
      <c r="J648">
        <v>11218</v>
      </c>
      <c r="K648" t="s">
        <v>3522</v>
      </c>
      <c r="L648" t="s">
        <v>3525</v>
      </c>
      <c r="M648" t="s">
        <v>3823</v>
      </c>
      <c r="N648" t="s">
        <v>4107</v>
      </c>
      <c r="O648" t="s">
        <v>4134</v>
      </c>
      <c r="Q648" t="s">
        <v>4147</v>
      </c>
      <c r="R648" t="s">
        <v>3523</v>
      </c>
      <c r="T648" t="s">
        <v>4156</v>
      </c>
      <c r="U648" t="s">
        <v>4168</v>
      </c>
      <c r="V648" t="s">
        <v>4175</v>
      </c>
      <c r="W648">
        <v>1627</v>
      </c>
      <c r="X648" t="s">
        <v>4193</v>
      </c>
      <c r="Y648" t="s">
        <v>4201</v>
      </c>
      <c r="Z648" t="s">
        <v>4787</v>
      </c>
      <c r="AB648" t="s">
        <v>6145</v>
      </c>
      <c r="AC648">
        <v>6</v>
      </c>
      <c r="AD648" t="s">
        <v>6771</v>
      </c>
      <c r="AF648">
        <v>13</v>
      </c>
      <c r="AG648">
        <v>1</v>
      </c>
      <c r="AH648">
        <v>0</v>
      </c>
      <c r="AI648">
        <v>93</v>
      </c>
      <c r="AL648" t="s">
        <v>6801</v>
      </c>
      <c r="AM648">
        <v>11616</v>
      </c>
    </row>
    <row r="649" spans="1:44">
      <c r="A649" s="1">
        <f>HYPERLINK("https://lsnyc.legalserver.org/matter/dynamic-profile/view/1914349","19-1914349")</f>
        <v>0</v>
      </c>
      <c r="B649" t="s">
        <v>104</v>
      </c>
      <c r="C649" t="s">
        <v>289</v>
      </c>
      <c r="D649" t="s">
        <v>243</v>
      </c>
      <c r="E649" t="s">
        <v>837</v>
      </c>
      <c r="F649" t="s">
        <v>1408</v>
      </c>
      <c r="G649" t="s">
        <v>2664</v>
      </c>
      <c r="H649" t="s">
        <v>3334</v>
      </c>
      <c r="I649" t="s">
        <v>3493</v>
      </c>
      <c r="J649">
        <v>10460</v>
      </c>
      <c r="K649" t="s">
        <v>3522</v>
      </c>
      <c r="L649" t="s">
        <v>3525</v>
      </c>
      <c r="M649" t="s">
        <v>3824</v>
      </c>
      <c r="N649" t="s">
        <v>4108</v>
      </c>
      <c r="O649" t="s">
        <v>4132</v>
      </c>
      <c r="P649" t="s">
        <v>4139</v>
      </c>
      <c r="Q649" t="s">
        <v>4147</v>
      </c>
      <c r="R649" t="s">
        <v>3523</v>
      </c>
      <c r="T649" t="s">
        <v>4156</v>
      </c>
      <c r="V649" t="s">
        <v>289</v>
      </c>
      <c r="W649">
        <v>1487</v>
      </c>
      <c r="X649" t="s">
        <v>4194</v>
      </c>
      <c r="Y649" t="s">
        <v>4206</v>
      </c>
      <c r="Z649" t="s">
        <v>4788</v>
      </c>
      <c r="AB649" t="s">
        <v>6146</v>
      </c>
      <c r="AC649">
        <v>0</v>
      </c>
      <c r="AD649" t="s">
        <v>6772</v>
      </c>
      <c r="AE649" t="s">
        <v>6790</v>
      </c>
      <c r="AF649">
        <v>1</v>
      </c>
      <c r="AG649">
        <v>1</v>
      </c>
      <c r="AH649">
        <v>0</v>
      </c>
      <c r="AI649">
        <v>93</v>
      </c>
      <c r="AL649" t="s">
        <v>6801</v>
      </c>
      <c r="AM649">
        <v>11616</v>
      </c>
    </row>
    <row r="650" spans="1:44">
      <c r="A650" s="1">
        <f>HYPERLINK("https://lsnyc.legalserver.org/matter/dynamic-profile/view/1907790","19-1907790")</f>
        <v>0</v>
      </c>
      <c r="B650" t="s">
        <v>97</v>
      </c>
      <c r="C650" t="s">
        <v>222</v>
      </c>
      <c r="E650" t="s">
        <v>838</v>
      </c>
      <c r="F650" t="s">
        <v>1696</v>
      </c>
      <c r="G650" t="s">
        <v>2264</v>
      </c>
      <c r="H650" t="s">
        <v>3335</v>
      </c>
      <c r="I650" t="s">
        <v>3490</v>
      </c>
      <c r="J650">
        <v>11212</v>
      </c>
      <c r="K650" t="s">
        <v>3522</v>
      </c>
      <c r="L650" t="s">
        <v>3525</v>
      </c>
      <c r="M650" t="s">
        <v>3526</v>
      </c>
      <c r="N650" t="s">
        <v>4112</v>
      </c>
      <c r="O650" t="s">
        <v>4135</v>
      </c>
      <c r="Q650" t="s">
        <v>4147</v>
      </c>
      <c r="R650" t="s">
        <v>3522</v>
      </c>
      <c r="T650" t="s">
        <v>4156</v>
      </c>
      <c r="U650" t="s">
        <v>4168</v>
      </c>
      <c r="V650" t="s">
        <v>207</v>
      </c>
      <c r="W650">
        <v>164.4</v>
      </c>
      <c r="X650" t="s">
        <v>4193</v>
      </c>
      <c r="Y650" t="s">
        <v>4206</v>
      </c>
      <c r="Z650" t="s">
        <v>4789</v>
      </c>
      <c r="AA650" t="s">
        <v>3526</v>
      </c>
      <c r="AB650" t="s">
        <v>6147</v>
      </c>
      <c r="AC650">
        <v>96</v>
      </c>
      <c r="AD650" t="s">
        <v>6772</v>
      </c>
      <c r="AE650" t="s">
        <v>4200</v>
      </c>
      <c r="AF650">
        <v>10</v>
      </c>
      <c r="AG650">
        <v>1</v>
      </c>
      <c r="AH650">
        <v>0</v>
      </c>
      <c r="AI650">
        <v>93.09999999999999</v>
      </c>
      <c r="AL650" t="s">
        <v>6801</v>
      </c>
      <c r="AM650">
        <v>11628</v>
      </c>
    </row>
    <row r="651" spans="1:44">
      <c r="A651" s="1">
        <f>HYPERLINK("https://lsnyc.legalserver.org/matter/dynamic-profile/view/1907453","19-1907453")</f>
        <v>0</v>
      </c>
      <c r="B651" t="s">
        <v>113</v>
      </c>
      <c r="C651" t="s">
        <v>185</v>
      </c>
      <c r="E651" t="s">
        <v>839</v>
      </c>
      <c r="F651" t="s">
        <v>1697</v>
      </c>
      <c r="G651" t="s">
        <v>2665</v>
      </c>
      <c r="H651" t="s">
        <v>3132</v>
      </c>
      <c r="I651" t="s">
        <v>3514</v>
      </c>
      <c r="J651">
        <v>11421</v>
      </c>
      <c r="K651" t="s">
        <v>3522</v>
      </c>
      <c r="L651" t="s">
        <v>3525</v>
      </c>
      <c r="M651" t="s">
        <v>3825</v>
      </c>
      <c r="N651" t="s">
        <v>4107</v>
      </c>
      <c r="O651" t="s">
        <v>4134</v>
      </c>
      <c r="Q651" t="s">
        <v>4147</v>
      </c>
      <c r="R651" t="s">
        <v>3523</v>
      </c>
      <c r="T651" t="s">
        <v>4156</v>
      </c>
      <c r="U651" t="s">
        <v>4169</v>
      </c>
      <c r="V651" t="s">
        <v>185</v>
      </c>
      <c r="W651">
        <v>1800</v>
      </c>
      <c r="X651" t="s">
        <v>4192</v>
      </c>
      <c r="Y651" t="s">
        <v>4197</v>
      </c>
      <c r="Z651" t="s">
        <v>4790</v>
      </c>
      <c r="AB651" t="s">
        <v>6148</v>
      </c>
      <c r="AC651">
        <v>2</v>
      </c>
      <c r="AD651" t="s">
        <v>5524</v>
      </c>
      <c r="AE651" t="s">
        <v>3526</v>
      </c>
      <c r="AF651">
        <v>8</v>
      </c>
      <c r="AG651">
        <v>1</v>
      </c>
      <c r="AH651">
        <v>3</v>
      </c>
      <c r="AI651">
        <v>93.2</v>
      </c>
      <c r="AL651" t="s">
        <v>6801</v>
      </c>
      <c r="AM651">
        <v>24000</v>
      </c>
      <c r="AO651" t="s">
        <v>6920</v>
      </c>
      <c r="AP651" t="s">
        <v>4200</v>
      </c>
      <c r="AQ651" t="s">
        <v>6946</v>
      </c>
      <c r="AR651" t="s">
        <v>6989</v>
      </c>
    </row>
    <row r="652" spans="1:44">
      <c r="A652" s="1">
        <f>HYPERLINK("https://lsnyc.legalserver.org/matter/dynamic-profile/view/1914416","19-1914416")</f>
        <v>0</v>
      </c>
      <c r="B652" t="s">
        <v>49</v>
      </c>
      <c r="C652" t="s">
        <v>289</v>
      </c>
      <c r="D652" t="s">
        <v>381</v>
      </c>
      <c r="E652" t="s">
        <v>840</v>
      </c>
      <c r="F652" t="s">
        <v>1698</v>
      </c>
      <c r="G652" t="s">
        <v>2666</v>
      </c>
      <c r="H652" t="s">
        <v>3127</v>
      </c>
      <c r="I652" t="s">
        <v>3489</v>
      </c>
      <c r="J652">
        <v>11356</v>
      </c>
      <c r="K652" t="s">
        <v>3522</v>
      </c>
      <c r="L652" t="s">
        <v>3525</v>
      </c>
      <c r="M652" t="s">
        <v>3826</v>
      </c>
      <c r="N652" t="s">
        <v>4107</v>
      </c>
      <c r="O652" t="s">
        <v>4132</v>
      </c>
      <c r="P652" t="s">
        <v>4139</v>
      </c>
      <c r="Q652" t="s">
        <v>4147</v>
      </c>
      <c r="R652" t="s">
        <v>3523</v>
      </c>
      <c r="T652" t="s">
        <v>4156</v>
      </c>
      <c r="U652" t="s">
        <v>4169</v>
      </c>
      <c r="V652" t="s">
        <v>258</v>
      </c>
      <c r="W652">
        <v>1800</v>
      </c>
      <c r="X652" t="s">
        <v>4192</v>
      </c>
      <c r="Y652" t="s">
        <v>4197</v>
      </c>
      <c r="Z652" t="s">
        <v>4791</v>
      </c>
      <c r="AA652" t="s">
        <v>5482</v>
      </c>
      <c r="AB652" t="s">
        <v>6149</v>
      </c>
      <c r="AC652">
        <v>2</v>
      </c>
      <c r="AD652" t="s">
        <v>6771</v>
      </c>
      <c r="AE652" t="s">
        <v>3526</v>
      </c>
      <c r="AF652">
        <v>3</v>
      </c>
      <c r="AG652">
        <v>2</v>
      </c>
      <c r="AH652">
        <v>2</v>
      </c>
      <c r="AI652">
        <v>93.2</v>
      </c>
      <c r="AL652" t="s">
        <v>6801</v>
      </c>
      <c r="AM652">
        <v>24000</v>
      </c>
    </row>
    <row r="653" spans="1:44">
      <c r="A653" s="1">
        <f>HYPERLINK("https://lsnyc.legalserver.org/matter/dynamic-profile/view/1909614","19-1909614")</f>
        <v>0</v>
      </c>
      <c r="B653" t="s">
        <v>92</v>
      </c>
      <c r="C653" t="s">
        <v>231</v>
      </c>
      <c r="E653" t="s">
        <v>841</v>
      </c>
      <c r="F653" t="s">
        <v>1699</v>
      </c>
      <c r="G653" t="s">
        <v>2667</v>
      </c>
      <c r="I653" t="s">
        <v>3495</v>
      </c>
      <c r="J653">
        <v>10033</v>
      </c>
      <c r="K653" t="s">
        <v>3522</v>
      </c>
      <c r="L653" t="s">
        <v>3525</v>
      </c>
      <c r="O653" t="s">
        <v>4136</v>
      </c>
      <c r="Q653" t="s">
        <v>4147</v>
      </c>
      <c r="R653" t="s">
        <v>3523</v>
      </c>
      <c r="T653" t="s">
        <v>4156</v>
      </c>
      <c r="V653" t="s">
        <v>231</v>
      </c>
      <c r="W653">
        <v>370</v>
      </c>
      <c r="X653" t="s">
        <v>4196</v>
      </c>
      <c r="Y653" t="s">
        <v>4205</v>
      </c>
      <c r="Z653" t="s">
        <v>4792</v>
      </c>
      <c r="AB653" t="s">
        <v>6150</v>
      </c>
      <c r="AC653">
        <v>43</v>
      </c>
      <c r="AD653" t="s">
        <v>6780</v>
      </c>
      <c r="AE653" t="s">
        <v>3526</v>
      </c>
      <c r="AF653">
        <v>30</v>
      </c>
      <c r="AG653">
        <v>4</v>
      </c>
      <c r="AH653">
        <v>0</v>
      </c>
      <c r="AI653">
        <v>93.2</v>
      </c>
      <c r="AL653" t="s">
        <v>6802</v>
      </c>
      <c r="AM653">
        <v>23998</v>
      </c>
    </row>
    <row r="654" spans="1:44">
      <c r="A654" s="1">
        <f>HYPERLINK("https://lsnyc.legalserver.org/matter/dynamic-profile/view/1915284","19-1915284")</f>
        <v>0</v>
      </c>
      <c r="B654" t="s">
        <v>94</v>
      </c>
      <c r="C654" t="s">
        <v>204</v>
      </c>
      <c r="E654" t="s">
        <v>842</v>
      </c>
      <c r="F654" t="s">
        <v>1700</v>
      </c>
      <c r="G654" t="s">
        <v>2480</v>
      </c>
      <c r="H654" t="s">
        <v>3148</v>
      </c>
      <c r="I654" t="s">
        <v>3495</v>
      </c>
      <c r="J654">
        <v>10035</v>
      </c>
      <c r="K654" t="s">
        <v>3522</v>
      </c>
      <c r="L654" t="s">
        <v>3525</v>
      </c>
      <c r="N654" t="s">
        <v>4110</v>
      </c>
      <c r="O654" t="s">
        <v>4134</v>
      </c>
      <c r="Q654" t="s">
        <v>4147</v>
      </c>
      <c r="R654" t="s">
        <v>3522</v>
      </c>
      <c r="T654" t="s">
        <v>4156</v>
      </c>
      <c r="U654" t="s">
        <v>4168</v>
      </c>
      <c r="V654" t="s">
        <v>204</v>
      </c>
      <c r="W654">
        <v>258</v>
      </c>
      <c r="X654" t="s">
        <v>4196</v>
      </c>
      <c r="Y654" t="s">
        <v>4201</v>
      </c>
      <c r="Z654" t="s">
        <v>4793</v>
      </c>
      <c r="AC654">
        <v>60</v>
      </c>
      <c r="AD654" t="s">
        <v>6772</v>
      </c>
      <c r="AE654" t="s">
        <v>6794</v>
      </c>
      <c r="AF654">
        <v>14</v>
      </c>
      <c r="AG654">
        <v>1</v>
      </c>
      <c r="AH654">
        <v>0</v>
      </c>
      <c r="AI654">
        <v>93.67</v>
      </c>
      <c r="AL654" t="s">
        <v>6801</v>
      </c>
      <c r="AM654">
        <v>11700</v>
      </c>
    </row>
    <row r="655" spans="1:44">
      <c r="A655" s="1">
        <f>HYPERLINK("https://lsnyc.legalserver.org/matter/dynamic-profile/view/1914816","19-1914816")</f>
        <v>0</v>
      </c>
      <c r="B655" t="s">
        <v>94</v>
      </c>
      <c r="C655" t="s">
        <v>301</v>
      </c>
      <c r="E655" t="s">
        <v>842</v>
      </c>
      <c r="F655" t="s">
        <v>1700</v>
      </c>
      <c r="G655" t="s">
        <v>2480</v>
      </c>
      <c r="H655" t="s">
        <v>3148</v>
      </c>
      <c r="I655" t="s">
        <v>3495</v>
      </c>
      <c r="J655">
        <v>10035</v>
      </c>
      <c r="K655" t="s">
        <v>3522</v>
      </c>
      <c r="L655" t="s">
        <v>3525</v>
      </c>
      <c r="N655" t="s">
        <v>4108</v>
      </c>
      <c r="O655" t="s">
        <v>4134</v>
      </c>
      <c r="Q655" t="s">
        <v>4147</v>
      </c>
      <c r="R655" t="s">
        <v>3522</v>
      </c>
      <c r="T655" t="s">
        <v>4156</v>
      </c>
      <c r="U655" t="s">
        <v>4168</v>
      </c>
      <c r="V655" t="s">
        <v>267</v>
      </c>
      <c r="W655">
        <v>258</v>
      </c>
      <c r="X655" t="s">
        <v>4196</v>
      </c>
      <c r="Y655" t="s">
        <v>4201</v>
      </c>
      <c r="Z655" t="s">
        <v>4793</v>
      </c>
      <c r="AC655">
        <v>60</v>
      </c>
      <c r="AD655" t="s">
        <v>6772</v>
      </c>
      <c r="AE655" t="s">
        <v>6794</v>
      </c>
      <c r="AF655">
        <v>14</v>
      </c>
      <c r="AG655">
        <v>1</v>
      </c>
      <c r="AH655">
        <v>0</v>
      </c>
      <c r="AI655">
        <v>93.67</v>
      </c>
      <c r="AL655" t="s">
        <v>6801</v>
      </c>
      <c r="AM655">
        <v>11700</v>
      </c>
    </row>
    <row r="656" spans="1:44">
      <c r="A656" s="1">
        <f>HYPERLINK("https://lsnyc.legalserver.org/matter/dynamic-profile/view/1907462","19-1907462")</f>
        <v>0</v>
      </c>
      <c r="B656" t="s">
        <v>122</v>
      </c>
      <c r="C656" t="s">
        <v>185</v>
      </c>
      <c r="E656" t="s">
        <v>843</v>
      </c>
      <c r="F656" t="s">
        <v>1678</v>
      </c>
      <c r="G656" t="s">
        <v>2668</v>
      </c>
      <c r="I656" t="s">
        <v>3499</v>
      </c>
      <c r="J656">
        <v>11429</v>
      </c>
      <c r="K656" t="s">
        <v>3522</v>
      </c>
      <c r="L656" t="s">
        <v>3525</v>
      </c>
      <c r="M656" t="s">
        <v>3827</v>
      </c>
      <c r="N656" t="s">
        <v>4107</v>
      </c>
      <c r="O656" t="s">
        <v>4132</v>
      </c>
      <c r="Q656" t="s">
        <v>4147</v>
      </c>
      <c r="R656" t="s">
        <v>3523</v>
      </c>
      <c r="T656" t="s">
        <v>4156</v>
      </c>
      <c r="U656" t="s">
        <v>4169</v>
      </c>
      <c r="V656" t="s">
        <v>185</v>
      </c>
      <c r="W656">
        <v>450</v>
      </c>
      <c r="X656" t="s">
        <v>4192</v>
      </c>
      <c r="Y656" t="s">
        <v>4197</v>
      </c>
      <c r="Z656" t="s">
        <v>4794</v>
      </c>
      <c r="AA656" t="s">
        <v>5482</v>
      </c>
      <c r="AB656" t="s">
        <v>5482</v>
      </c>
      <c r="AC656">
        <v>2</v>
      </c>
      <c r="AD656" t="s">
        <v>5524</v>
      </c>
      <c r="AE656" t="s">
        <v>3526</v>
      </c>
      <c r="AF656">
        <v>2</v>
      </c>
      <c r="AG656">
        <v>1</v>
      </c>
      <c r="AH656">
        <v>2</v>
      </c>
      <c r="AI656">
        <v>93.76000000000001</v>
      </c>
      <c r="AL656" t="s">
        <v>6801</v>
      </c>
      <c r="AM656">
        <v>20000</v>
      </c>
    </row>
    <row r="657" spans="1:44">
      <c r="A657" s="1">
        <f>HYPERLINK("https://lsnyc.legalserver.org/matter/dynamic-profile/view/1906488","19-1906488")</f>
        <v>0</v>
      </c>
      <c r="B657" t="s">
        <v>44</v>
      </c>
      <c r="C657" t="s">
        <v>320</v>
      </c>
      <c r="D657" t="s">
        <v>203</v>
      </c>
      <c r="E657" t="s">
        <v>844</v>
      </c>
      <c r="F657" t="s">
        <v>1701</v>
      </c>
      <c r="G657" t="s">
        <v>2669</v>
      </c>
      <c r="H657" t="s">
        <v>3336</v>
      </c>
      <c r="I657" t="s">
        <v>3488</v>
      </c>
      <c r="J657">
        <v>11355</v>
      </c>
      <c r="K657" t="s">
        <v>3522</v>
      </c>
      <c r="L657" t="s">
        <v>3525</v>
      </c>
      <c r="M657" t="s">
        <v>3562</v>
      </c>
      <c r="N657" t="s">
        <v>3554</v>
      </c>
      <c r="O657" t="s">
        <v>4135</v>
      </c>
      <c r="P657" t="s">
        <v>4142</v>
      </c>
      <c r="Q657" t="s">
        <v>4147</v>
      </c>
      <c r="R657" t="s">
        <v>3523</v>
      </c>
      <c r="T657" t="s">
        <v>4156</v>
      </c>
      <c r="U657" t="s">
        <v>4168</v>
      </c>
      <c r="V657" t="s">
        <v>320</v>
      </c>
      <c r="W657">
        <v>1750</v>
      </c>
      <c r="X657" t="s">
        <v>4192</v>
      </c>
      <c r="Y657" t="s">
        <v>4207</v>
      </c>
      <c r="Z657" t="s">
        <v>4795</v>
      </c>
      <c r="AA657" t="s">
        <v>3526</v>
      </c>
      <c r="AB657" t="s">
        <v>6151</v>
      </c>
      <c r="AC657">
        <v>146</v>
      </c>
      <c r="AD657" t="s">
        <v>6772</v>
      </c>
      <c r="AE657" t="s">
        <v>3526</v>
      </c>
      <c r="AF657">
        <v>4</v>
      </c>
      <c r="AG657">
        <v>2</v>
      </c>
      <c r="AH657">
        <v>1</v>
      </c>
      <c r="AI657">
        <v>93.76000000000001</v>
      </c>
      <c r="AL657" t="s">
        <v>6817</v>
      </c>
      <c r="AM657">
        <v>20000</v>
      </c>
      <c r="AP657" t="s">
        <v>4200</v>
      </c>
      <c r="AR657" t="s">
        <v>6990</v>
      </c>
    </row>
    <row r="658" spans="1:44">
      <c r="A658" s="1">
        <f>HYPERLINK("https://lsnyc.legalserver.org/matter/dynamic-profile/view/1909273","19-1909273")</f>
        <v>0</v>
      </c>
      <c r="B658" t="s">
        <v>66</v>
      </c>
      <c r="C658" t="s">
        <v>197</v>
      </c>
      <c r="E658" t="s">
        <v>656</v>
      </c>
      <c r="F658" t="s">
        <v>1702</v>
      </c>
      <c r="G658" t="s">
        <v>2670</v>
      </c>
      <c r="I658" t="s">
        <v>3490</v>
      </c>
      <c r="J658">
        <v>11217</v>
      </c>
      <c r="K658" t="s">
        <v>3522</v>
      </c>
      <c r="L658" t="s">
        <v>3525</v>
      </c>
      <c r="N658" t="s">
        <v>4112</v>
      </c>
      <c r="O658" t="s">
        <v>4133</v>
      </c>
      <c r="Q658" t="s">
        <v>4147</v>
      </c>
      <c r="T658" t="s">
        <v>4156</v>
      </c>
      <c r="V658" t="s">
        <v>197</v>
      </c>
      <c r="W658">
        <v>0</v>
      </c>
      <c r="X658" t="s">
        <v>4193</v>
      </c>
      <c r="Z658" t="s">
        <v>4796</v>
      </c>
      <c r="AB658" t="s">
        <v>6152</v>
      </c>
      <c r="AC658">
        <v>20</v>
      </c>
      <c r="AF658">
        <v>0</v>
      </c>
      <c r="AG658">
        <v>3</v>
      </c>
      <c r="AH658">
        <v>0</v>
      </c>
      <c r="AI658">
        <v>93.76000000000001</v>
      </c>
      <c r="AL658" t="s">
        <v>6818</v>
      </c>
      <c r="AM658">
        <v>20000</v>
      </c>
    </row>
    <row r="659" spans="1:44">
      <c r="A659" s="1">
        <f>HYPERLINK("https://lsnyc.legalserver.org/matter/dynamic-profile/view/1907958","19-1907958")</f>
        <v>0</v>
      </c>
      <c r="B659" t="s">
        <v>66</v>
      </c>
      <c r="C659" t="s">
        <v>193</v>
      </c>
      <c r="E659" t="s">
        <v>656</v>
      </c>
      <c r="F659" t="s">
        <v>1702</v>
      </c>
      <c r="G659" t="s">
        <v>2670</v>
      </c>
      <c r="I659" t="s">
        <v>3490</v>
      </c>
      <c r="J659">
        <v>11217</v>
      </c>
      <c r="K659" t="s">
        <v>3522</v>
      </c>
      <c r="L659" t="s">
        <v>3525</v>
      </c>
      <c r="M659" t="s">
        <v>3828</v>
      </c>
      <c r="N659" t="s">
        <v>4109</v>
      </c>
      <c r="O659" t="s">
        <v>4134</v>
      </c>
      <c r="Q659" t="s">
        <v>4147</v>
      </c>
      <c r="R659" t="s">
        <v>3523</v>
      </c>
      <c r="T659" t="s">
        <v>4156</v>
      </c>
      <c r="V659" t="s">
        <v>193</v>
      </c>
      <c r="W659">
        <v>1739.1</v>
      </c>
      <c r="X659" t="s">
        <v>4193</v>
      </c>
      <c r="Y659" t="s">
        <v>4201</v>
      </c>
      <c r="Z659" t="s">
        <v>4796</v>
      </c>
      <c r="AB659" t="s">
        <v>6152</v>
      </c>
      <c r="AC659">
        <v>20</v>
      </c>
      <c r="AD659" t="s">
        <v>6772</v>
      </c>
      <c r="AE659" t="s">
        <v>3526</v>
      </c>
      <c r="AF659">
        <v>22</v>
      </c>
      <c r="AG659">
        <v>3</v>
      </c>
      <c r="AH659">
        <v>0</v>
      </c>
      <c r="AI659">
        <v>93.76000000000001</v>
      </c>
      <c r="AL659" t="s">
        <v>6818</v>
      </c>
      <c r="AM659">
        <v>20000</v>
      </c>
    </row>
    <row r="660" spans="1:44">
      <c r="A660" s="1">
        <f>HYPERLINK("https://lsnyc.legalserver.org/matter/dynamic-profile/view/1902677","19-1902677")</f>
        <v>0</v>
      </c>
      <c r="B660" t="s">
        <v>55</v>
      </c>
      <c r="C660" t="s">
        <v>334</v>
      </c>
      <c r="E660" t="s">
        <v>734</v>
      </c>
      <c r="F660" t="s">
        <v>1703</v>
      </c>
      <c r="G660" t="s">
        <v>2671</v>
      </c>
      <c r="H660" t="s">
        <v>3337</v>
      </c>
      <c r="I660" t="s">
        <v>3490</v>
      </c>
      <c r="J660">
        <v>11213</v>
      </c>
      <c r="K660" t="s">
        <v>3522</v>
      </c>
      <c r="L660" t="s">
        <v>3525</v>
      </c>
      <c r="M660" t="s">
        <v>3829</v>
      </c>
      <c r="N660" t="s">
        <v>4107</v>
      </c>
      <c r="O660" t="s">
        <v>4134</v>
      </c>
      <c r="Q660" t="s">
        <v>4147</v>
      </c>
      <c r="R660" t="s">
        <v>3523</v>
      </c>
      <c r="T660" t="s">
        <v>4156</v>
      </c>
      <c r="U660" t="s">
        <v>4168</v>
      </c>
      <c r="V660" t="s">
        <v>259</v>
      </c>
      <c r="W660">
        <v>831</v>
      </c>
      <c r="X660" t="s">
        <v>4193</v>
      </c>
      <c r="Y660" t="s">
        <v>4197</v>
      </c>
      <c r="Z660" t="s">
        <v>4797</v>
      </c>
      <c r="AA660" t="s">
        <v>3526</v>
      </c>
      <c r="AB660" t="s">
        <v>6153</v>
      </c>
      <c r="AC660">
        <v>200</v>
      </c>
      <c r="AD660" t="s">
        <v>6772</v>
      </c>
      <c r="AE660" t="s">
        <v>3526</v>
      </c>
      <c r="AF660">
        <v>16</v>
      </c>
      <c r="AG660">
        <v>3</v>
      </c>
      <c r="AH660">
        <v>0</v>
      </c>
      <c r="AI660">
        <v>93.76000000000001</v>
      </c>
      <c r="AL660" t="s">
        <v>6801</v>
      </c>
      <c r="AM660">
        <v>20000</v>
      </c>
    </row>
    <row r="661" spans="1:44">
      <c r="A661" s="1">
        <f>HYPERLINK("https://lsnyc.legalserver.org/matter/dynamic-profile/view/1911547","19-1911547")</f>
        <v>0</v>
      </c>
      <c r="B661" t="s">
        <v>90</v>
      </c>
      <c r="C661" t="s">
        <v>215</v>
      </c>
      <c r="E661" t="s">
        <v>796</v>
      </c>
      <c r="F661" t="s">
        <v>1704</v>
      </c>
      <c r="G661" t="s">
        <v>2454</v>
      </c>
      <c r="H661" t="s">
        <v>3140</v>
      </c>
      <c r="I661" t="s">
        <v>3495</v>
      </c>
      <c r="J661">
        <v>10040</v>
      </c>
      <c r="K661" t="s">
        <v>3522</v>
      </c>
      <c r="L661" t="s">
        <v>3525</v>
      </c>
      <c r="N661" t="s">
        <v>4115</v>
      </c>
      <c r="O661" t="s">
        <v>4136</v>
      </c>
      <c r="Q661" t="s">
        <v>4147</v>
      </c>
      <c r="R661" t="s">
        <v>3522</v>
      </c>
      <c r="T661" t="s">
        <v>4156</v>
      </c>
      <c r="V661" t="s">
        <v>215</v>
      </c>
      <c r="W661">
        <v>952</v>
      </c>
      <c r="X661" t="s">
        <v>4196</v>
      </c>
      <c r="Y661" t="s">
        <v>4201</v>
      </c>
      <c r="Z661" t="s">
        <v>4798</v>
      </c>
      <c r="AB661" t="s">
        <v>6154</v>
      </c>
      <c r="AC661">
        <v>44</v>
      </c>
      <c r="AD661" t="s">
        <v>6772</v>
      </c>
      <c r="AE661" t="s">
        <v>3526</v>
      </c>
      <c r="AF661">
        <v>24</v>
      </c>
      <c r="AG661">
        <v>2</v>
      </c>
      <c r="AH661">
        <v>1</v>
      </c>
      <c r="AI661">
        <v>93.76000000000001</v>
      </c>
      <c r="AL661" t="s">
        <v>6802</v>
      </c>
      <c r="AM661">
        <v>20000</v>
      </c>
    </row>
    <row r="662" spans="1:44">
      <c r="A662" s="1">
        <f>HYPERLINK("https://lsnyc.legalserver.org/matter/dynamic-profile/view/1912334","19-1912334")</f>
        <v>0</v>
      </c>
      <c r="B662" t="s">
        <v>90</v>
      </c>
      <c r="C662" t="s">
        <v>202</v>
      </c>
      <c r="E662" t="s">
        <v>796</v>
      </c>
      <c r="F662" t="s">
        <v>1704</v>
      </c>
      <c r="G662" t="s">
        <v>2454</v>
      </c>
      <c r="H662" t="s">
        <v>3140</v>
      </c>
      <c r="I662" t="s">
        <v>3495</v>
      </c>
      <c r="J662">
        <v>10040</v>
      </c>
      <c r="K662" t="s">
        <v>3522</v>
      </c>
      <c r="L662" t="s">
        <v>3525</v>
      </c>
      <c r="N662" t="s">
        <v>4110</v>
      </c>
      <c r="O662" t="s">
        <v>4134</v>
      </c>
      <c r="Q662" t="s">
        <v>4147</v>
      </c>
      <c r="R662" t="s">
        <v>3522</v>
      </c>
      <c r="T662" t="s">
        <v>4156</v>
      </c>
      <c r="V662" t="s">
        <v>202</v>
      </c>
      <c r="W662">
        <v>952</v>
      </c>
      <c r="X662" t="s">
        <v>4196</v>
      </c>
      <c r="Y662" t="s">
        <v>4201</v>
      </c>
      <c r="Z662" t="s">
        <v>4798</v>
      </c>
      <c r="AB662" t="s">
        <v>6154</v>
      </c>
      <c r="AC662">
        <v>44</v>
      </c>
      <c r="AD662" t="s">
        <v>6772</v>
      </c>
      <c r="AE662" t="s">
        <v>3526</v>
      </c>
      <c r="AF662">
        <v>24</v>
      </c>
      <c r="AG662">
        <v>2</v>
      </c>
      <c r="AH662">
        <v>1</v>
      </c>
      <c r="AI662">
        <v>93.76000000000001</v>
      </c>
      <c r="AL662" t="s">
        <v>6802</v>
      </c>
      <c r="AM662">
        <v>20000</v>
      </c>
    </row>
    <row r="663" spans="1:44">
      <c r="A663" s="1">
        <f>HYPERLINK("https://lsnyc.legalserver.org/matter/dynamic-profile/view/1913071","19-1913071")</f>
        <v>0</v>
      </c>
      <c r="B663" t="s">
        <v>123</v>
      </c>
      <c r="C663" t="s">
        <v>314</v>
      </c>
      <c r="D663" t="s">
        <v>220</v>
      </c>
      <c r="E663" t="s">
        <v>796</v>
      </c>
      <c r="F663" t="s">
        <v>1704</v>
      </c>
      <c r="G663" t="s">
        <v>2454</v>
      </c>
      <c r="H663" t="s">
        <v>3140</v>
      </c>
      <c r="I663" t="s">
        <v>3495</v>
      </c>
      <c r="J663">
        <v>10040</v>
      </c>
      <c r="K663" t="s">
        <v>3522</v>
      </c>
      <c r="L663" t="s">
        <v>3525</v>
      </c>
      <c r="M663" t="s">
        <v>3675</v>
      </c>
      <c r="N663" t="s">
        <v>4110</v>
      </c>
      <c r="O663" t="s">
        <v>4137</v>
      </c>
      <c r="P663" t="s">
        <v>4145</v>
      </c>
      <c r="Q663" t="s">
        <v>4147</v>
      </c>
      <c r="R663" t="s">
        <v>3522</v>
      </c>
      <c r="T663" t="s">
        <v>4156</v>
      </c>
      <c r="V663" t="s">
        <v>314</v>
      </c>
      <c r="W663">
        <v>952</v>
      </c>
      <c r="X663" t="s">
        <v>4196</v>
      </c>
      <c r="Y663" t="s">
        <v>4201</v>
      </c>
      <c r="Z663" t="s">
        <v>4798</v>
      </c>
      <c r="AB663" t="s">
        <v>6154</v>
      </c>
      <c r="AC663">
        <v>44</v>
      </c>
      <c r="AD663" t="s">
        <v>6772</v>
      </c>
      <c r="AE663" t="s">
        <v>3526</v>
      </c>
      <c r="AF663">
        <v>25</v>
      </c>
      <c r="AG663">
        <v>2</v>
      </c>
      <c r="AH663">
        <v>1</v>
      </c>
      <c r="AI663">
        <v>93.76000000000001</v>
      </c>
      <c r="AL663" t="s">
        <v>6802</v>
      </c>
      <c r="AM663">
        <v>20000</v>
      </c>
    </row>
    <row r="664" spans="1:44">
      <c r="A664" s="1">
        <f>HYPERLINK("https://lsnyc.legalserver.org/matter/dynamic-profile/view/1911734","19-1911734")</f>
        <v>0</v>
      </c>
      <c r="B664" t="s">
        <v>89</v>
      </c>
      <c r="C664" t="s">
        <v>194</v>
      </c>
      <c r="E664" t="s">
        <v>774</v>
      </c>
      <c r="F664" t="s">
        <v>1705</v>
      </c>
      <c r="G664" t="s">
        <v>2672</v>
      </c>
      <c r="H664" t="s">
        <v>3135</v>
      </c>
      <c r="I664" t="s">
        <v>3495</v>
      </c>
      <c r="J664">
        <v>10034</v>
      </c>
      <c r="K664" t="s">
        <v>3522</v>
      </c>
      <c r="L664" t="s">
        <v>3525</v>
      </c>
      <c r="O664" t="s">
        <v>4136</v>
      </c>
      <c r="Q664" t="s">
        <v>4147</v>
      </c>
      <c r="T664" t="s">
        <v>4159</v>
      </c>
      <c r="V664" t="s">
        <v>267</v>
      </c>
      <c r="W664">
        <v>829.75</v>
      </c>
      <c r="X664" t="s">
        <v>4196</v>
      </c>
      <c r="Y664" t="s">
        <v>4205</v>
      </c>
      <c r="Z664" t="s">
        <v>4799</v>
      </c>
      <c r="AB664" t="s">
        <v>6155</v>
      </c>
      <c r="AC664">
        <v>120</v>
      </c>
      <c r="AD664" t="s">
        <v>6772</v>
      </c>
      <c r="AE664" t="s">
        <v>3526</v>
      </c>
      <c r="AF664">
        <v>3</v>
      </c>
      <c r="AG664">
        <v>2</v>
      </c>
      <c r="AH664">
        <v>0</v>
      </c>
      <c r="AI664">
        <v>93.94</v>
      </c>
      <c r="AL664" t="s">
        <v>6801</v>
      </c>
      <c r="AM664">
        <v>15886</v>
      </c>
    </row>
    <row r="665" spans="1:44">
      <c r="A665" s="1">
        <f>HYPERLINK("https://lsnyc.legalserver.org/matter/dynamic-profile/view/1904907","19-1904907")</f>
        <v>0</v>
      </c>
      <c r="B665" t="s">
        <v>46</v>
      </c>
      <c r="C665" t="s">
        <v>272</v>
      </c>
      <c r="D665" t="s">
        <v>231</v>
      </c>
      <c r="E665" t="s">
        <v>673</v>
      </c>
      <c r="F665" t="s">
        <v>1447</v>
      </c>
      <c r="G665" t="s">
        <v>2470</v>
      </c>
      <c r="H665">
        <v>2</v>
      </c>
      <c r="I665" t="s">
        <v>3508</v>
      </c>
      <c r="J665">
        <v>11693</v>
      </c>
      <c r="K665" t="s">
        <v>3522</v>
      </c>
      <c r="L665" t="s">
        <v>3525</v>
      </c>
      <c r="M665" t="s">
        <v>3709</v>
      </c>
      <c r="N665" t="s">
        <v>4107</v>
      </c>
      <c r="O665" t="s">
        <v>4132</v>
      </c>
      <c r="P665" t="s">
        <v>4139</v>
      </c>
      <c r="Q665" t="s">
        <v>4147</v>
      </c>
      <c r="R665" t="s">
        <v>3523</v>
      </c>
      <c r="T665" t="s">
        <v>4156</v>
      </c>
      <c r="U665" t="s">
        <v>4168</v>
      </c>
      <c r="V665" t="s">
        <v>231</v>
      </c>
      <c r="W665">
        <v>2022</v>
      </c>
      <c r="X665" t="s">
        <v>4192</v>
      </c>
      <c r="Y665" t="s">
        <v>4197</v>
      </c>
      <c r="Z665" t="s">
        <v>4554</v>
      </c>
      <c r="AA665" t="s">
        <v>5597</v>
      </c>
      <c r="AB665" t="s">
        <v>6156</v>
      </c>
      <c r="AC665">
        <v>2</v>
      </c>
      <c r="AD665" t="s">
        <v>6771</v>
      </c>
      <c r="AE665" t="s">
        <v>6786</v>
      </c>
      <c r="AF665">
        <v>5</v>
      </c>
      <c r="AG665">
        <v>2</v>
      </c>
      <c r="AH665">
        <v>6</v>
      </c>
      <c r="AI665">
        <v>93.98999999999999</v>
      </c>
      <c r="AL665" t="s">
        <v>6801</v>
      </c>
      <c r="AM665">
        <v>40821.98</v>
      </c>
    </row>
    <row r="666" spans="1:44">
      <c r="A666" s="1">
        <f>HYPERLINK("https://lsnyc.legalserver.org/matter/dynamic-profile/view/1911546","19-1911546")</f>
        <v>0</v>
      </c>
      <c r="B666" t="s">
        <v>91</v>
      </c>
      <c r="C666" t="s">
        <v>215</v>
      </c>
      <c r="E666" t="s">
        <v>767</v>
      </c>
      <c r="F666" t="s">
        <v>1629</v>
      </c>
      <c r="G666" t="s">
        <v>2582</v>
      </c>
      <c r="H666" t="s">
        <v>3307</v>
      </c>
      <c r="I666" t="s">
        <v>3495</v>
      </c>
      <c r="J666">
        <v>10035</v>
      </c>
      <c r="K666" t="s">
        <v>3522</v>
      </c>
      <c r="L666" t="s">
        <v>3525</v>
      </c>
      <c r="M666" t="s">
        <v>3830</v>
      </c>
      <c r="N666" t="s">
        <v>4109</v>
      </c>
      <c r="O666" t="s">
        <v>4134</v>
      </c>
      <c r="Q666" t="s">
        <v>4147</v>
      </c>
      <c r="R666" t="s">
        <v>3523</v>
      </c>
      <c r="T666" t="s">
        <v>4156</v>
      </c>
      <c r="U666" t="s">
        <v>4168</v>
      </c>
      <c r="V666" t="s">
        <v>253</v>
      </c>
      <c r="W666">
        <v>811</v>
      </c>
      <c r="X666" t="s">
        <v>4196</v>
      </c>
      <c r="Y666" t="s">
        <v>4200</v>
      </c>
      <c r="Z666" t="s">
        <v>4689</v>
      </c>
      <c r="AB666" t="s">
        <v>6056</v>
      </c>
      <c r="AC666">
        <v>90</v>
      </c>
      <c r="AD666" t="s">
        <v>6778</v>
      </c>
      <c r="AE666" t="s">
        <v>6786</v>
      </c>
      <c r="AF666">
        <v>5</v>
      </c>
      <c r="AG666">
        <v>2</v>
      </c>
      <c r="AH666">
        <v>3</v>
      </c>
      <c r="AI666">
        <v>94.13</v>
      </c>
      <c r="AL666" t="s">
        <v>6801</v>
      </c>
      <c r="AM666">
        <v>28400</v>
      </c>
    </row>
    <row r="667" spans="1:44">
      <c r="A667" s="1">
        <f>HYPERLINK("https://lsnyc.legalserver.org/matter/dynamic-profile/view/1914631","19-1914631")</f>
        <v>0</v>
      </c>
      <c r="B667" t="s">
        <v>73</v>
      </c>
      <c r="C667" t="s">
        <v>269</v>
      </c>
      <c r="D667" t="s">
        <v>208</v>
      </c>
      <c r="E667" t="s">
        <v>845</v>
      </c>
      <c r="F667" t="s">
        <v>1214</v>
      </c>
      <c r="G667" t="s">
        <v>2673</v>
      </c>
      <c r="I667" t="s">
        <v>3493</v>
      </c>
      <c r="J667">
        <v>10452</v>
      </c>
      <c r="K667" t="s">
        <v>3522</v>
      </c>
      <c r="L667" t="s">
        <v>3525</v>
      </c>
      <c r="N667" t="s">
        <v>4116</v>
      </c>
      <c r="O667" t="s">
        <v>4135</v>
      </c>
      <c r="P667" t="s">
        <v>4145</v>
      </c>
      <c r="Q667" t="s">
        <v>4147</v>
      </c>
      <c r="R667" t="s">
        <v>3523</v>
      </c>
      <c r="T667" t="s">
        <v>4159</v>
      </c>
      <c r="V667" t="s">
        <v>269</v>
      </c>
      <c r="W667">
        <v>700.84</v>
      </c>
      <c r="X667" t="s">
        <v>4194</v>
      </c>
      <c r="Y667" t="s">
        <v>4201</v>
      </c>
      <c r="Z667" t="s">
        <v>4800</v>
      </c>
      <c r="AB667" t="s">
        <v>6157</v>
      </c>
      <c r="AC667">
        <v>122</v>
      </c>
      <c r="AD667" t="s">
        <v>6772</v>
      </c>
      <c r="AE667" t="s">
        <v>6791</v>
      </c>
      <c r="AF667">
        <v>27</v>
      </c>
      <c r="AG667">
        <v>1</v>
      </c>
      <c r="AH667">
        <v>0</v>
      </c>
      <c r="AI667">
        <v>94.70999999999999</v>
      </c>
      <c r="AL667" t="s">
        <v>6801</v>
      </c>
      <c r="AM667">
        <v>11829.6</v>
      </c>
    </row>
    <row r="668" spans="1:44">
      <c r="A668" s="1">
        <f>HYPERLINK("https://lsnyc.legalserver.org/matter/dynamic-profile/view/1908658","19-1908658")</f>
        <v>0</v>
      </c>
      <c r="B668" t="s">
        <v>117</v>
      </c>
      <c r="C668" t="s">
        <v>205</v>
      </c>
      <c r="E668" t="s">
        <v>846</v>
      </c>
      <c r="F668" t="s">
        <v>1706</v>
      </c>
      <c r="G668" t="s">
        <v>2674</v>
      </c>
      <c r="H668">
        <v>314</v>
      </c>
      <c r="I668" t="s">
        <v>3488</v>
      </c>
      <c r="J668">
        <v>11354</v>
      </c>
      <c r="K668" t="s">
        <v>3522</v>
      </c>
      <c r="M668" t="s">
        <v>3831</v>
      </c>
      <c r="N668" t="s">
        <v>4109</v>
      </c>
      <c r="O668" t="s">
        <v>4134</v>
      </c>
      <c r="Q668" t="s">
        <v>4147</v>
      </c>
      <c r="R668" t="s">
        <v>3523</v>
      </c>
      <c r="T668" t="s">
        <v>4156</v>
      </c>
      <c r="U668" t="s">
        <v>4168</v>
      </c>
      <c r="V668" t="s">
        <v>205</v>
      </c>
      <c r="W668">
        <v>1150.87</v>
      </c>
      <c r="X668" t="s">
        <v>4192</v>
      </c>
      <c r="Y668" t="s">
        <v>4211</v>
      </c>
      <c r="Z668" t="s">
        <v>4801</v>
      </c>
      <c r="AB668" t="s">
        <v>6158</v>
      </c>
      <c r="AC668">
        <v>79</v>
      </c>
      <c r="AD668" t="s">
        <v>6772</v>
      </c>
      <c r="AE668" t="s">
        <v>6791</v>
      </c>
      <c r="AF668">
        <v>30</v>
      </c>
      <c r="AG668">
        <v>1</v>
      </c>
      <c r="AH668">
        <v>0</v>
      </c>
      <c r="AI668">
        <v>94.83</v>
      </c>
      <c r="AL668" t="s">
        <v>6805</v>
      </c>
      <c r="AM668">
        <v>11844</v>
      </c>
      <c r="AP668" t="s">
        <v>6926</v>
      </c>
    </row>
    <row r="669" spans="1:44">
      <c r="A669" s="1">
        <f>HYPERLINK("https://lsnyc.legalserver.org/matter/dynamic-profile/view/1908659","19-1908659")</f>
        <v>0</v>
      </c>
      <c r="B669" t="s">
        <v>93</v>
      </c>
      <c r="C669" t="s">
        <v>205</v>
      </c>
      <c r="D669" t="s">
        <v>236</v>
      </c>
      <c r="E669" t="s">
        <v>693</v>
      </c>
      <c r="F669" t="s">
        <v>1562</v>
      </c>
      <c r="G669" t="s">
        <v>2675</v>
      </c>
      <c r="H669" t="s">
        <v>3252</v>
      </c>
      <c r="I669" t="s">
        <v>3495</v>
      </c>
      <c r="J669">
        <v>10032</v>
      </c>
      <c r="K669" t="s">
        <v>3522</v>
      </c>
      <c r="L669" t="s">
        <v>3525</v>
      </c>
      <c r="M669" t="s">
        <v>3832</v>
      </c>
      <c r="O669" t="s">
        <v>4132</v>
      </c>
      <c r="P669" t="s">
        <v>4139</v>
      </c>
      <c r="Q669" t="s">
        <v>4147</v>
      </c>
      <c r="R669" t="s">
        <v>3523</v>
      </c>
      <c r="T669" t="s">
        <v>4156</v>
      </c>
      <c r="V669" t="s">
        <v>205</v>
      </c>
      <c r="W669">
        <v>199.43</v>
      </c>
      <c r="X669" t="s">
        <v>4196</v>
      </c>
      <c r="Y669" t="s">
        <v>4205</v>
      </c>
      <c r="Z669" t="s">
        <v>4802</v>
      </c>
      <c r="AB669" t="s">
        <v>6159</v>
      </c>
      <c r="AC669">
        <v>45</v>
      </c>
      <c r="AD669" t="s">
        <v>6772</v>
      </c>
      <c r="AE669" t="s">
        <v>6791</v>
      </c>
      <c r="AF669">
        <v>60</v>
      </c>
      <c r="AG669">
        <v>2</v>
      </c>
      <c r="AH669">
        <v>0</v>
      </c>
      <c r="AI669">
        <v>94.95</v>
      </c>
      <c r="AL669" t="s">
        <v>6802</v>
      </c>
      <c r="AM669">
        <v>16056</v>
      </c>
    </row>
    <row r="670" spans="1:44">
      <c r="A670" s="1">
        <f>HYPERLINK("https://lsnyc.legalserver.org/matter/dynamic-profile/view/1911785","19-1911785")</f>
        <v>0</v>
      </c>
      <c r="B670" t="s">
        <v>86</v>
      </c>
      <c r="C670" t="s">
        <v>190</v>
      </c>
      <c r="E670" t="s">
        <v>847</v>
      </c>
      <c r="F670" t="s">
        <v>1707</v>
      </c>
      <c r="G670" t="s">
        <v>2676</v>
      </c>
      <c r="H670">
        <v>46</v>
      </c>
      <c r="I670" t="s">
        <v>3495</v>
      </c>
      <c r="J670">
        <v>10033</v>
      </c>
      <c r="K670" t="s">
        <v>3522</v>
      </c>
      <c r="L670" t="s">
        <v>3525</v>
      </c>
      <c r="O670" t="s">
        <v>4136</v>
      </c>
      <c r="Q670" t="s">
        <v>4147</v>
      </c>
      <c r="R670" t="s">
        <v>3523</v>
      </c>
      <c r="T670" t="s">
        <v>4156</v>
      </c>
      <c r="V670" t="s">
        <v>190</v>
      </c>
      <c r="W670">
        <v>724.4</v>
      </c>
      <c r="X670" t="s">
        <v>4196</v>
      </c>
      <c r="Y670" t="s">
        <v>4205</v>
      </c>
      <c r="Z670" t="s">
        <v>4803</v>
      </c>
      <c r="AA670" t="s">
        <v>5598</v>
      </c>
      <c r="AB670" t="s">
        <v>6160</v>
      </c>
      <c r="AC670">
        <v>56</v>
      </c>
      <c r="AD670" t="s">
        <v>6772</v>
      </c>
      <c r="AE670" t="s">
        <v>3526</v>
      </c>
      <c r="AF670">
        <v>48</v>
      </c>
      <c r="AG670">
        <v>1</v>
      </c>
      <c r="AH670">
        <v>0</v>
      </c>
      <c r="AI670">
        <v>95.12</v>
      </c>
      <c r="AL670" t="s">
        <v>6801</v>
      </c>
      <c r="AM670">
        <v>11880</v>
      </c>
    </row>
    <row r="671" spans="1:44">
      <c r="A671" s="1">
        <f>HYPERLINK("https://lsnyc.legalserver.org/matter/dynamic-profile/view/1903654","19-1903654")</f>
        <v>0</v>
      </c>
      <c r="B671" t="s">
        <v>61</v>
      </c>
      <c r="C671" t="s">
        <v>286</v>
      </c>
      <c r="D671" t="s">
        <v>325</v>
      </c>
      <c r="E671" t="s">
        <v>790</v>
      </c>
      <c r="F671" t="s">
        <v>1708</v>
      </c>
      <c r="G671" t="s">
        <v>2677</v>
      </c>
      <c r="H671" t="s">
        <v>3170</v>
      </c>
      <c r="I671" t="s">
        <v>3490</v>
      </c>
      <c r="J671">
        <v>11225</v>
      </c>
      <c r="K671" t="s">
        <v>3522</v>
      </c>
      <c r="L671" t="s">
        <v>3525</v>
      </c>
      <c r="M671" t="s">
        <v>3833</v>
      </c>
      <c r="N671" t="s">
        <v>4109</v>
      </c>
      <c r="O671" t="s">
        <v>4132</v>
      </c>
      <c r="P671" t="s">
        <v>4139</v>
      </c>
      <c r="Q671" t="s">
        <v>4147</v>
      </c>
      <c r="R671" t="s">
        <v>3523</v>
      </c>
      <c r="T671" t="s">
        <v>4156</v>
      </c>
      <c r="U671" t="s">
        <v>4169</v>
      </c>
      <c r="V671" t="s">
        <v>293</v>
      </c>
      <c r="W671">
        <v>678</v>
      </c>
      <c r="X671" t="s">
        <v>4193</v>
      </c>
      <c r="Y671" t="s">
        <v>4201</v>
      </c>
      <c r="Z671" t="s">
        <v>4804</v>
      </c>
      <c r="AA671" t="s">
        <v>3526</v>
      </c>
      <c r="AB671" t="s">
        <v>6161</v>
      </c>
      <c r="AC671">
        <v>26</v>
      </c>
      <c r="AD671" t="s">
        <v>6772</v>
      </c>
      <c r="AE671" t="s">
        <v>6789</v>
      </c>
      <c r="AF671">
        <v>19</v>
      </c>
      <c r="AG671">
        <v>2</v>
      </c>
      <c r="AH671">
        <v>3</v>
      </c>
      <c r="AI671">
        <v>95.66</v>
      </c>
      <c r="AK671" t="s">
        <v>6800</v>
      </c>
      <c r="AL671" t="s">
        <v>6801</v>
      </c>
      <c r="AM671">
        <v>28860</v>
      </c>
    </row>
    <row r="672" spans="1:44">
      <c r="A672" s="1">
        <f>HYPERLINK("https://lsnyc.legalserver.org/matter/dynamic-profile/view/1905676","19-1905676")</f>
        <v>0</v>
      </c>
      <c r="B672" t="s">
        <v>52</v>
      </c>
      <c r="C672" t="s">
        <v>206</v>
      </c>
      <c r="E672" t="s">
        <v>645</v>
      </c>
      <c r="F672" t="s">
        <v>914</v>
      </c>
      <c r="G672" t="s">
        <v>2410</v>
      </c>
      <c r="H672" t="s">
        <v>3157</v>
      </c>
      <c r="I672" t="s">
        <v>3490</v>
      </c>
      <c r="J672">
        <v>11226</v>
      </c>
      <c r="K672" t="s">
        <v>3522</v>
      </c>
      <c r="N672" t="s">
        <v>4110</v>
      </c>
      <c r="O672" t="s">
        <v>4137</v>
      </c>
      <c r="Q672" t="s">
        <v>4147</v>
      </c>
      <c r="R672" t="s">
        <v>3522</v>
      </c>
      <c r="S672" t="s">
        <v>4149</v>
      </c>
      <c r="T672" t="s">
        <v>4156</v>
      </c>
      <c r="V672" t="s">
        <v>206</v>
      </c>
      <c r="W672">
        <v>0</v>
      </c>
      <c r="X672" t="s">
        <v>4193</v>
      </c>
      <c r="Z672" t="s">
        <v>4805</v>
      </c>
      <c r="AB672" t="s">
        <v>6162</v>
      </c>
      <c r="AC672">
        <v>36</v>
      </c>
      <c r="AD672" t="s">
        <v>6772</v>
      </c>
      <c r="AF672">
        <v>0</v>
      </c>
      <c r="AG672">
        <v>1</v>
      </c>
      <c r="AH672">
        <v>0</v>
      </c>
      <c r="AI672">
        <v>96.08</v>
      </c>
      <c r="AL672" t="s">
        <v>6811</v>
      </c>
      <c r="AM672">
        <v>12000</v>
      </c>
    </row>
    <row r="673" spans="1:44">
      <c r="A673" s="1">
        <f>HYPERLINK("https://lsnyc.legalserver.org/matter/dynamic-profile/view/1894553","19-1894553")</f>
        <v>0</v>
      </c>
      <c r="B673" t="s">
        <v>64</v>
      </c>
      <c r="C673" t="s">
        <v>201</v>
      </c>
      <c r="E673" t="s">
        <v>848</v>
      </c>
      <c r="F673" t="s">
        <v>516</v>
      </c>
      <c r="G673" t="s">
        <v>2362</v>
      </c>
      <c r="H673" t="s">
        <v>3158</v>
      </c>
      <c r="I673" t="s">
        <v>3490</v>
      </c>
      <c r="J673">
        <v>11225</v>
      </c>
      <c r="K673" t="s">
        <v>3522</v>
      </c>
      <c r="L673" t="s">
        <v>3525</v>
      </c>
      <c r="O673" t="s">
        <v>4137</v>
      </c>
      <c r="Q673" t="s">
        <v>4147</v>
      </c>
      <c r="R673" t="s">
        <v>3522</v>
      </c>
      <c r="T673" t="s">
        <v>4156</v>
      </c>
      <c r="V673" t="s">
        <v>230</v>
      </c>
      <c r="W673">
        <v>0</v>
      </c>
      <c r="X673" t="s">
        <v>4193</v>
      </c>
      <c r="Z673" t="s">
        <v>4806</v>
      </c>
      <c r="AB673" t="s">
        <v>6163</v>
      </c>
      <c r="AC673">
        <v>11</v>
      </c>
      <c r="AF673">
        <v>0</v>
      </c>
      <c r="AG673">
        <v>1</v>
      </c>
      <c r="AH673">
        <v>0</v>
      </c>
      <c r="AI673">
        <v>96.08</v>
      </c>
      <c r="AL673" t="s">
        <v>6801</v>
      </c>
      <c r="AM673">
        <v>12000</v>
      </c>
    </row>
    <row r="674" spans="1:44">
      <c r="A674" s="1">
        <f>HYPERLINK("https://lsnyc.legalserver.org/matter/dynamic-profile/view/1912486","19-1912486")</f>
        <v>0</v>
      </c>
      <c r="B674" t="s">
        <v>51</v>
      </c>
      <c r="C674" t="s">
        <v>295</v>
      </c>
      <c r="E674" t="s">
        <v>849</v>
      </c>
      <c r="F674" t="s">
        <v>1709</v>
      </c>
      <c r="G674" t="s">
        <v>2514</v>
      </c>
      <c r="H674" t="s">
        <v>3131</v>
      </c>
      <c r="I674" t="s">
        <v>3490</v>
      </c>
      <c r="J674">
        <v>11210</v>
      </c>
      <c r="K674" t="s">
        <v>3522</v>
      </c>
      <c r="L674" t="s">
        <v>3525</v>
      </c>
      <c r="N674" t="s">
        <v>4112</v>
      </c>
      <c r="O674" t="s">
        <v>4133</v>
      </c>
      <c r="Q674" t="s">
        <v>4147</v>
      </c>
      <c r="R674" t="s">
        <v>3523</v>
      </c>
      <c r="T674" t="s">
        <v>4156</v>
      </c>
      <c r="V674" t="s">
        <v>295</v>
      </c>
      <c r="W674">
        <v>0</v>
      </c>
      <c r="X674" t="s">
        <v>4193</v>
      </c>
      <c r="Z674" t="s">
        <v>4807</v>
      </c>
      <c r="AB674" t="s">
        <v>6164</v>
      </c>
      <c r="AC674">
        <v>65</v>
      </c>
      <c r="AF674">
        <v>14</v>
      </c>
      <c r="AG674">
        <v>1</v>
      </c>
      <c r="AH674">
        <v>0</v>
      </c>
      <c r="AI674">
        <v>96.08</v>
      </c>
      <c r="AL674" t="s">
        <v>6801</v>
      </c>
      <c r="AM674">
        <v>12000</v>
      </c>
    </row>
    <row r="675" spans="1:44">
      <c r="A675" s="1">
        <f>HYPERLINK("https://lsnyc.legalserver.org/matter/dynamic-profile/view/1906131","19-1906131")</f>
        <v>0</v>
      </c>
      <c r="B675" t="s">
        <v>103</v>
      </c>
      <c r="C675" t="s">
        <v>207</v>
      </c>
      <c r="D675" t="s">
        <v>283</v>
      </c>
      <c r="E675" t="s">
        <v>403</v>
      </c>
      <c r="F675" t="s">
        <v>1710</v>
      </c>
      <c r="G675" t="s">
        <v>2678</v>
      </c>
      <c r="H675" t="s">
        <v>3331</v>
      </c>
      <c r="I675" t="s">
        <v>3493</v>
      </c>
      <c r="J675">
        <v>10452</v>
      </c>
      <c r="K675" t="s">
        <v>3522</v>
      </c>
      <c r="L675" t="s">
        <v>3525</v>
      </c>
      <c r="N675" t="s">
        <v>4110</v>
      </c>
      <c r="O675" t="s">
        <v>4135</v>
      </c>
      <c r="P675" t="s">
        <v>4139</v>
      </c>
      <c r="Q675" t="s">
        <v>4147</v>
      </c>
      <c r="R675" t="s">
        <v>3523</v>
      </c>
      <c r="T675" t="s">
        <v>4156</v>
      </c>
      <c r="V675" t="s">
        <v>241</v>
      </c>
      <c r="W675">
        <v>1191</v>
      </c>
      <c r="X675" t="s">
        <v>4194</v>
      </c>
      <c r="Y675" t="s">
        <v>4205</v>
      </c>
      <c r="Z675" t="s">
        <v>4808</v>
      </c>
      <c r="AB675" t="s">
        <v>6165</v>
      </c>
      <c r="AC675">
        <v>60</v>
      </c>
      <c r="AF675">
        <v>20</v>
      </c>
      <c r="AG675">
        <v>1</v>
      </c>
      <c r="AH675">
        <v>0</v>
      </c>
      <c r="AI675">
        <v>96.08</v>
      </c>
      <c r="AL675" t="s">
        <v>6801</v>
      </c>
      <c r="AM675">
        <v>12000</v>
      </c>
    </row>
    <row r="676" spans="1:44">
      <c r="A676" s="1">
        <f>HYPERLINK("https://lsnyc.legalserver.org/matter/dynamic-profile/view/1912850","19-1912850")</f>
        <v>0</v>
      </c>
      <c r="B676" t="s">
        <v>73</v>
      </c>
      <c r="C676" t="s">
        <v>253</v>
      </c>
      <c r="D676" t="s">
        <v>297</v>
      </c>
      <c r="E676" t="s">
        <v>456</v>
      </c>
      <c r="F676" t="s">
        <v>1711</v>
      </c>
      <c r="G676" t="s">
        <v>2679</v>
      </c>
      <c r="I676" t="s">
        <v>3493</v>
      </c>
      <c r="J676">
        <v>10452</v>
      </c>
      <c r="K676" t="s">
        <v>3522</v>
      </c>
      <c r="L676" t="s">
        <v>3525</v>
      </c>
      <c r="N676" t="s">
        <v>3554</v>
      </c>
      <c r="O676" t="s">
        <v>4132</v>
      </c>
      <c r="P676" t="s">
        <v>4139</v>
      </c>
      <c r="Q676" t="s">
        <v>4147</v>
      </c>
      <c r="R676" t="s">
        <v>3523</v>
      </c>
      <c r="T676" t="s">
        <v>4156</v>
      </c>
      <c r="V676" t="s">
        <v>192</v>
      </c>
      <c r="W676">
        <v>286</v>
      </c>
      <c r="X676" t="s">
        <v>4194</v>
      </c>
      <c r="Y676" t="s">
        <v>4206</v>
      </c>
      <c r="Z676" t="s">
        <v>4809</v>
      </c>
      <c r="AB676" t="s">
        <v>6166</v>
      </c>
      <c r="AC676">
        <v>79</v>
      </c>
      <c r="AD676" t="s">
        <v>6774</v>
      </c>
      <c r="AE676" t="s">
        <v>6786</v>
      </c>
      <c r="AF676">
        <v>8</v>
      </c>
      <c r="AG676">
        <v>1</v>
      </c>
      <c r="AH676">
        <v>0</v>
      </c>
      <c r="AI676">
        <v>96.08</v>
      </c>
      <c r="AL676" t="s">
        <v>6802</v>
      </c>
      <c r="AM676">
        <v>12000</v>
      </c>
    </row>
    <row r="677" spans="1:44">
      <c r="A677" s="1">
        <f>HYPERLINK("https://lsnyc.legalserver.org/matter/dynamic-profile/view/1903782","19-1903782")</f>
        <v>0</v>
      </c>
      <c r="B677" t="s">
        <v>143</v>
      </c>
      <c r="C677" t="s">
        <v>183</v>
      </c>
      <c r="D677" t="s">
        <v>192</v>
      </c>
      <c r="E677" t="s">
        <v>850</v>
      </c>
      <c r="F677" t="s">
        <v>1712</v>
      </c>
      <c r="G677" t="s">
        <v>2680</v>
      </c>
      <c r="H677" t="s">
        <v>3161</v>
      </c>
      <c r="I677" t="s">
        <v>3494</v>
      </c>
      <c r="J677">
        <v>10301</v>
      </c>
      <c r="K677" t="s">
        <v>3522</v>
      </c>
      <c r="L677" t="s">
        <v>3525</v>
      </c>
      <c r="M677" t="s">
        <v>3834</v>
      </c>
      <c r="N677" t="s">
        <v>4109</v>
      </c>
      <c r="O677" t="s">
        <v>4134</v>
      </c>
      <c r="P677" t="s">
        <v>4140</v>
      </c>
      <c r="Q677" t="s">
        <v>4147</v>
      </c>
      <c r="R677" t="s">
        <v>3523</v>
      </c>
      <c r="T677" t="s">
        <v>4156</v>
      </c>
      <c r="U677" t="s">
        <v>4168</v>
      </c>
      <c r="V677" t="s">
        <v>261</v>
      </c>
      <c r="W677">
        <v>1400</v>
      </c>
      <c r="X677" t="s">
        <v>4195</v>
      </c>
      <c r="Y677" t="s">
        <v>4203</v>
      </c>
      <c r="Z677" t="s">
        <v>4810</v>
      </c>
      <c r="AB677" t="s">
        <v>6167</v>
      </c>
      <c r="AC677">
        <v>0</v>
      </c>
      <c r="AD677" t="s">
        <v>6771</v>
      </c>
      <c r="AE677" t="s">
        <v>3526</v>
      </c>
      <c r="AF677">
        <v>4</v>
      </c>
      <c r="AG677">
        <v>1</v>
      </c>
      <c r="AH677">
        <v>0</v>
      </c>
      <c r="AI677">
        <v>96.08</v>
      </c>
      <c r="AL677" t="s">
        <v>6801</v>
      </c>
      <c r="AM677">
        <v>12000</v>
      </c>
      <c r="AP677" t="s">
        <v>6937</v>
      </c>
      <c r="AQ677" t="s">
        <v>6945</v>
      </c>
      <c r="AR677" t="s">
        <v>6991</v>
      </c>
    </row>
    <row r="678" spans="1:44">
      <c r="A678" s="1">
        <f>HYPERLINK("https://lsnyc.legalserver.org/matter/dynamic-profile/view/1915277","19-1915277")</f>
        <v>0</v>
      </c>
      <c r="B678" t="s">
        <v>94</v>
      </c>
      <c r="C678" t="s">
        <v>204</v>
      </c>
      <c r="E678" t="s">
        <v>602</v>
      </c>
      <c r="F678" t="s">
        <v>1713</v>
      </c>
      <c r="G678" t="s">
        <v>2480</v>
      </c>
      <c r="H678" t="s">
        <v>3164</v>
      </c>
      <c r="I678" t="s">
        <v>3495</v>
      </c>
      <c r="J678">
        <v>10035</v>
      </c>
      <c r="K678" t="s">
        <v>3522</v>
      </c>
      <c r="L678" t="s">
        <v>3525</v>
      </c>
      <c r="N678" t="s">
        <v>4110</v>
      </c>
      <c r="O678" t="s">
        <v>4134</v>
      </c>
      <c r="Q678" t="s">
        <v>4147</v>
      </c>
      <c r="R678" t="s">
        <v>3522</v>
      </c>
      <c r="T678" t="s">
        <v>4156</v>
      </c>
      <c r="U678" t="s">
        <v>4168</v>
      </c>
      <c r="V678" t="s">
        <v>204</v>
      </c>
      <c r="W678">
        <v>1104.42</v>
      </c>
      <c r="X678" t="s">
        <v>4196</v>
      </c>
      <c r="Y678" t="s">
        <v>4201</v>
      </c>
      <c r="Z678" t="s">
        <v>4811</v>
      </c>
      <c r="AB678" t="s">
        <v>6168</v>
      </c>
      <c r="AC678">
        <v>60</v>
      </c>
      <c r="AD678" t="s">
        <v>6772</v>
      </c>
      <c r="AE678" t="s">
        <v>3526</v>
      </c>
      <c r="AF678">
        <v>7</v>
      </c>
      <c r="AG678">
        <v>1</v>
      </c>
      <c r="AH678">
        <v>0</v>
      </c>
      <c r="AI678">
        <v>96.08</v>
      </c>
      <c r="AL678" t="s">
        <v>6802</v>
      </c>
      <c r="AM678">
        <v>12000</v>
      </c>
    </row>
    <row r="679" spans="1:44">
      <c r="A679" s="1">
        <f>HYPERLINK("https://lsnyc.legalserver.org/matter/dynamic-profile/view/1914815","19-1914815")</f>
        <v>0</v>
      </c>
      <c r="B679" t="s">
        <v>94</v>
      </c>
      <c r="C679" t="s">
        <v>301</v>
      </c>
      <c r="E679" t="s">
        <v>602</v>
      </c>
      <c r="F679" t="s">
        <v>1713</v>
      </c>
      <c r="G679" t="s">
        <v>2480</v>
      </c>
      <c r="H679" t="s">
        <v>3164</v>
      </c>
      <c r="I679" t="s">
        <v>3495</v>
      </c>
      <c r="J679">
        <v>10035</v>
      </c>
      <c r="K679" t="s">
        <v>3522</v>
      </c>
      <c r="L679" t="s">
        <v>3525</v>
      </c>
      <c r="N679" t="s">
        <v>4108</v>
      </c>
      <c r="O679" t="s">
        <v>4134</v>
      </c>
      <c r="Q679" t="s">
        <v>4147</v>
      </c>
      <c r="R679" t="s">
        <v>3522</v>
      </c>
      <c r="T679" t="s">
        <v>4156</v>
      </c>
      <c r="U679" t="s">
        <v>4168</v>
      </c>
      <c r="V679" t="s">
        <v>267</v>
      </c>
      <c r="W679">
        <v>1104.42</v>
      </c>
      <c r="X679" t="s">
        <v>4196</v>
      </c>
      <c r="Y679" t="s">
        <v>4201</v>
      </c>
      <c r="Z679" t="s">
        <v>4811</v>
      </c>
      <c r="AB679" t="s">
        <v>6168</v>
      </c>
      <c r="AC679">
        <v>60</v>
      </c>
      <c r="AD679" t="s">
        <v>6772</v>
      </c>
      <c r="AE679" t="s">
        <v>3526</v>
      </c>
      <c r="AF679">
        <v>7</v>
      </c>
      <c r="AG679">
        <v>1</v>
      </c>
      <c r="AH679">
        <v>0</v>
      </c>
      <c r="AI679">
        <v>96.08</v>
      </c>
      <c r="AL679" t="s">
        <v>6802</v>
      </c>
      <c r="AM679">
        <v>12000</v>
      </c>
    </row>
    <row r="680" spans="1:44">
      <c r="A680" s="1">
        <f>HYPERLINK("https://lsnyc.legalserver.org/matter/dynamic-profile/view/1915058","19-1915058")</f>
        <v>0</v>
      </c>
      <c r="B680" t="s">
        <v>94</v>
      </c>
      <c r="C680" t="s">
        <v>219</v>
      </c>
      <c r="E680" t="s">
        <v>764</v>
      </c>
      <c r="F680" t="s">
        <v>1714</v>
      </c>
      <c r="G680" t="s">
        <v>2681</v>
      </c>
      <c r="H680">
        <v>609</v>
      </c>
      <c r="I680" t="s">
        <v>3495</v>
      </c>
      <c r="J680">
        <v>10029</v>
      </c>
      <c r="K680" t="s">
        <v>3522</v>
      </c>
      <c r="L680" t="s">
        <v>3525</v>
      </c>
      <c r="N680" t="s">
        <v>4109</v>
      </c>
      <c r="O680" t="s">
        <v>4136</v>
      </c>
      <c r="Q680" t="s">
        <v>4147</v>
      </c>
      <c r="R680" t="s">
        <v>3523</v>
      </c>
      <c r="T680" t="s">
        <v>4156</v>
      </c>
      <c r="U680" t="s">
        <v>4168</v>
      </c>
      <c r="V680" t="s">
        <v>220</v>
      </c>
      <c r="W680">
        <v>843</v>
      </c>
      <c r="X680" t="s">
        <v>4196</v>
      </c>
      <c r="Z680" t="s">
        <v>4812</v>
      </c>
      <c r="AB680" t="s">
        <v>6169</v>
      </c>
      <c r="AC680">
        <v>0</v>
      </c>
      <c r="AD680" t="s">
        <v>6772</v>
      </c>
      <c r="AE680" t="s">
        <v>3526</v>
      </c>
      <c r="AF680">
        <v>30</v>
      </c>
      <c r="AG680">
        <v>1</v>
      </c>
      <c r="AH680">
        <v>0</v>
      </c>
      <c r="AI680">
        <v>96.08</v>
      </c>
      <c r="AL680" t="s">
        <v>6801</v>
      </c>
      <c r="AM680">
        <v>12000</v>
      </c>
    </row>
    <row r="681" spans="1:44">
      <c r="A681" s="1">
        <f>HYPERLINK("https://lsnyc.legalserver.org/matter/dynamic-profile/view/1904712","19-1904712")</f>
        <v>0</v>
      </c>
      <c r="B681" t="s">
        <v>92</v>
      </c>
      <c r="C681" t="s">
        <v>246</v>
      </c>
      <c r="E681" t="s">
        <v>466</v>
      </c>
      <c r="F681" t="s">
        <v>1521</v>
      </c>
      <c r="G681" t="s">
        <v>2255</v>
      </c>
      <c r="H681">
        <v>44</v>
      </c>
      <c r="I681" t="s">
        <v>3495</v>
      </c>
      <c r="J681">
        <v>10034</v>
      </c>
      <c r="K681" t="s">
        <v>3522</v>
      </c>
      <c r="L681" t="s">
        <v>3525</v>
      </c>
      <c r="O681" t="s">
        <v>4136</v>
      </c>
      <c r="Q681" t="s">
        <v>4147</v>
      </c>
      <c r="R681" t="s">
        <v>3522</v>
      </c>
      <c r="T681" t="s">
        <v>4156</v>
      </c>
      <c r="V681" t="s">
        <v>246</v>
      </c>
      <c r="W681">
        <v>1180.21</v>
      </c>
      <c r="X681" t="s">
        <v>4196</v>
      </c>
      <c r="Y681" t="s">
        <v>4205</v>
      </c>
      <c r="Z681" t="s">
        <v>4813</v>
      </c>
      <c r="AC681">
        <v>25</v>
      </c>
      <c r="AD681" t="s">
        <v>6772</v>
      </c>
      <c r="AE681" t="s">
        <v>3526</v>
      </c>
      <c r="AF681">
        <v>14</v>
      </c>
      <c r="AG681">
        <v>2</v>
      </c>
      <c r="AH681">
        <v>3</v>
      </c>
      <c r="AI681">
        <v>96.12</v>
      </c>
      <c r="AL681" t="s">
        <v>6802</v>
      </c>
      <c r="AM681">
        <v>29000</v>
      </c>
    </row>
    <row r="682" spans="1:44">
      <c r="A682" s="1">
        <f>HYPERLINK("https://lsnyc.legalserver.org/matter/dynamic-profile/view/1906981","19-1906981")</f>
        <v>0</v>
      </c>
      <c r="B682" t="s">
        <v>120</v>
      </c>
      <c r="C682" t="s">
        <v>210</v>
      </c>
      <c r="D682" t="s">
        <v>291</v>
      </c>
      <c r="E682" t="s">
        <v>851</v>
      </c>
      <c r="F682" t="s">
        <v>1715</v>
      </c>
      <c r="G682" t="s">
        <v>2682</v>
      </c>
      <c r="I682" t="s">
        <v>3494</v>
      </c>
      <c r="J682">
        <v>10304</v>
      </c>
      <c r="K682" t="s">
        <v>3522</v>
      </c>
      <c r="L682" t="s">
        <v>3525</v>
      </c>
      <c r="M682" t="s">
        <v>3553</v>
      </c>
      <c r="N682" t="s">
        <v>3554</v>
      </c>
      <c r="O682" t="s">
        <v>4135</v>
      </c>
      <c r="P682" t="s">
        <v>4142</v>
      </c>
      <c r="Q682" t="s">
        <v>4147</v>
      </c>
      <c r="R682" t="s">
        <v>3523</v>
      </c>
      <c r="T682" t="s">
        <v>4156</v>
      </c>
      <c r="U682" t="s">
        <v>4168</v>
      </c>
      <c r="V682" t="s">
        <v>210</v>
      </c>
      <c r="W682">
        <v>1750</v>
      </c>
      <c r="X682" t="s">
        <v>4195</v>
      </c>
      <c r="Y682" t="s">
        <v>4197</v>
      </c>
      <c r="Z682" t="s">
        <v>4814</v>
      </c>
      <c r="AB682" t="s">
        <v>6170</v>
      </c>
      <c r="AC682">
        <v>1</v>
      </c>
      <c r="AD682" t="s">
        <v>6771</v>
      </c>
      <c r="AE682" t="s">
        <v>3526</v>
      </c>
      <c r="AF682">
        <v>5</v>
      </c>
      <c r="AG682">
        <v>2</v>
      </c>
      <c r="AH682">
        <v>2</v>
      </c>
      <c r="AI682">
        <v>96.33</v>
      </c>
      <c r="AL682" t="s">
        <v>6801</v>
      </c>
      <c r="AM682">
        <v>24804</v>
      </c>
    </row>
    <row r="683" spans="1:44">
      <c r="A683" s="1">
        <f>HYPERLINK("https://lsnyc.legalserver.org/matter/dynamic-profile/view/1915350","19-1915350")</f>
        <v>0</v>
      </c>
      <c r="B683" t="s">
        <v>107</v>
      </c>
      <c r="C683" t="s">
        <v>248</v>
      </c>
      <c r="D683" t="s">
        <v>248</v>
      </c>
      <c r="E683" t="s">
        <v>852</v>
      </c>
      <c r="F683" t="s">
        <v>1716</v>
      </c>
      <c r="G683" t="s">
        <v>2550</v>
      </c>
      <c r="H683" t="s">
        <v>3338</v>
      </c>
      <c r="I683" t="s">
        <v>3494</v>
      </c>
      <c r="J683">
        <v>10304</v>
      </c>
      <c r="K683" t="s">
        <v>3522</v>
      </c>
      <c r="L683" t="s">
        <v>3525</v>
      </c>
      <c r="M683" t="s">
        <v>3553</v>
      </c>
      <c r="N683" t="s">
        <v>3554</v>
      </c>
      <c r="O683" t="s">
        <v>4132</v>
      </c>
      <c r="P683" t="s">
        <v>4139</v>
      </c>
      <c r="Q683" t="s">
        <v>4147</v>
      </c>
      <c r="R683" t="s">
        <v>3523</v>
      </c>
      <c r="T683" t="s">
        <v>4156</v>
      </c>
      <c r="V683" t="s">
        <v>248</v>
      </c>
      <c r="W683">
        <v>650</v>
      </c>
      <c r="X683" t="s">
        <v>4195</v>
      </c>
      <c r="Y683" t="s">
        <v>4202</v>
      </c>
      <c r="Z683" t="s">
        <v>4703</v>
      </c>
      <c r="AB683" t="s">
        <v>6171</v>
      </c>
      <c r="AC683">
        <v>305</v>
      </c>
      <c r="AD683" t="s">
        <v>6778</v>
      </c>
      <c r="AE683" t="s">
        <v>6786</v>
      </c>
      <c r="AF683">
        <v>8</v>
      </c>
      <c r="AG683">
        <v>2</v>
      </c>
      <c r="AH683">
        <v>0</v>
      </c>
      <c r="AI683">
        <v>96.87</v>
      </c>
      <c r="AL683" t="s">
        <v>6801</v>
      </c>
      <c r="AM683">
        <v>16380</v>
      </c>
      <c r="AP683" t="s">
        <v>4200</v>
      </c>
      <c r="AQ683" t="s">
        <v>6945</v>
      </c>
      <c r="AR683" t="s">
        <v>6992</v>
      </c>
    </row>
    <row r="684" spans="1:44">
      <c r="A684" s="1">
        <f>HYPERLINK("https://lsnyc.legalserver.org/matter/dynamic-profile/view/1907318","19-1907318")</f>
        <v>0</v>
      </c>
      <c r="B684" t="s">
        <v>46</v>
      </c>
      <c r="C684" t="s">
        <v>225</v>
      </c>
      <c r="E684" t="s">
        <v>402</v>
      </c>
      <c r="F684" t="s">
        <v>1480</v>
      </c>
      <c r="G684" t="s">
        <v>2683</v>
      </c>
      <c r="H684" t="s">
        <v>3136</v>
      </c>
      <c r="I684" t="s">
        <v>3496</v>
      </c>
      <c r="J684">
        <v>11385</v>
      </c>
      <c r="K684" t="s">
        <v>3522</v>
      </c>
      <c r="L684" t="s">
        <v>3525</v>
      </c>
      <c r="M684" t="s">
        <v>3835</v>
      </c>
      <c r="N684" t="s">
        <v>4119</v>
      </c>
      <c r="O684" t="s">
        <v>4135</v>
      </c>
      <c r="Q684" t="s">
        <v>4148</v>
      </c>
      <c r="R684" t="s">
        <v>3523</v>
      </c>
      <c r="T684" t="s">
        <v>4156</v>
      </c>
      <c r="U684" t="s">
        <v>4171</v>
      </c>
      <c r="V684" t="s">
        <v>225</v>
      </c>
      <c r="W684">
        <v>1734</v>
      </c>
      <c r="X684" t="s">
        <v>4192</v>
      </c>
      <c r="Y684" t="s">
        <v>4199</v>
      </c>
      <c r="Z684" t="s">
        <v>4815</v>
      </c>
      <c r="AA684" t="s">
        <v>5482</v>
      </c>
      <c r="AB684" t="s">
        <v>5482</v>
      </c>
      <c r="AC684">
        <v>6</v>
      </c>
      <c r="AD684" t="s">
        <v>6772</v>
      </c>
      <c r="AE684" t="s">
        <v>3526</v>
      </c>
      <c r="AF684">
        <v>4</v>
      </c>
      <c r="AG684">
        <v>1</v>
      </c>
      <c r="AH684">
        <v>3</v>
      </c>
      <c r="AI684">
        <v>96.93000000000001</v>
      </c>
      <c r="AJ684" t="s">
        <v>6795</v>
      </c>
      <c r="AK684" t="s">
        <v>6798</v>
      </c>
      <c r="AL684" t="s">
        <v>6802</v>
      </c>
      <c r="AM684">
        <v>24960</v>
      </c>
    </row>
    <row r="685" spans="1:44">
      <c r="A685" s="1">
        <f>HYPERLINK("https://lsnyc.legalserver.org/matter/dynamic-profile/view/1906286","19-1906286")</f>
        <v>0</v>
      </c>
      <c r="B685" t="s">
        <v>52</v>
      </c>
      <c r="C685" t="s">
        <v>276</v>
      </c>
      <c r="E685" t="s">
        <v>853</v>
      </c>
      <c r="F685" t="s">
        <v>1717</v>
      </c>
      <c r="G685" t="s">
        <v>2684</v>
      </c>
      <c r="H685" t="s">
        <v>3154</v>
      </c>
      <c r="I685" t="s">
        <v>3490</v>
      </c>
      <c r="J685">
        <v>11226</v>
      </c>
      <c r="K685" t="s">
        <v>3522</v>
      </c>
      <c r="L685" t="s">
        <v>3525</v>
      </c>
      <c r="M685" t="s">
        <v>3836</v>
      </c>
      <c r="N685" t="s">
        <v>4110</v>
      </c>
      <c r="O685" t="s">
        <v>4133</v>
      </c>
      <c r="Q685" t="s">
        <v>4147</v>
      </c>
      <c r="R685" t="s">
        <v>3523</v>
      </c>
      <c r="T685" t="s">
        <v>4156</v>
      </c>
      <c r="V685" t="s">
        <v>276</v>
      </c>
      <c r="W685">
        <v>1024.45</v>
      </c>
      <c r="X685" t="s">
        <v>4193</v>
      </c>
      <c r="Z685" t="s">
        <v>4816</v>
      </c>
      <c r="AC685">
        <v>27</v>
      </c>
      <c r="AD685" t="s">
        <v>6772</v>
      </c>
      <c r="AF685">
        <v>23</v>
      </c>
      <c r="AG685">
        <v>4</v>
      </c>
      <c r="AH685">
        <v>0</v>
      </c>
      <c r="AI685">
        <v>97.09</v>
      </c>
      <c r="AL685" t="s">
        <v>6801</v>
      </c>
      <c r="AM685">
        <v>25000</v>
      </c>
    </row>
    <row r="686" spans="1:44">
      <c r="A686" s="1">
        <f>HYPERLINK("https://lsnyc.legalserver.org/matter/dynamic-profile/view/1906180","19-1906180")</f>
        <v>0</v>
      </c>
      <c r="B686" t="s">
        <v>47</v>
      </c>
      <c r="C686" t="s">
        <v>188</v>
      </c>
      <c r="D686" t="s">
        <v>381</v>
      </c>
      <c r="E686" t="s">
        <v>589</v>
      </c>
      <c r="F686" t="s">
        <v>1718</v>
      </c>
      <c r="G686" t="s">
        <v>2685</v>
      </c>
      <c r="I686" t="s">
        <v>3480</v>
      </c>
      <c r="J686">
        <v>11435</v>
      </c>
      <c r="K686" t="s">
        <v>3522</v>
      </c>
      <c r="L686" t="s">
        <v>3525</v>
      </c>
      <c r="M686" t="s">
        <v>3837</v>
      </c>
      <c r="N686" t="s">
        <v>4107</v>
      </c>
      <c r="O686" t="s">
        <v>4132</v>
      </c>
      <c r="P686" t="s">
        <v>4139</v>
      </c>
      <c r="Q686" t="s">
        <v>4147</v>
      </c>
      <c r="R686" t="s">
        <v>3523</v>
      </c>
      <c r="T686" t="s">
        <v>4156</v>
      </c>
      <c r="U686" t="s">
        <v>4168</v>
      </c>
      <c r="V686" t="s">
        <v>188</v>
      </c>
      <c r="W686">
        <v>3100</v>
      </c>
      <c r="X686" t="s">
        <v>4192</v>
      </c>
      <c r="Y686" t="s">
        <v>4197</v>
      </c>
      <c r="Z686" t="s">
        <v>4817</v>
      </c>
      <c r="AA686" t="s">
        <v>5482</v>
      </c>
      <c r="AB686" t="s">
        <v>6172</v>
      </c>
      <c r="AC686">
        <v>1</v>
      </c>
      <c r="AD686" t="s">
        <v>5524</v>
      </c>
      <c r="AE686" t="s">
        <v>3526</v>
      </c>
      <c r="AF686">
        <v>-1</v>
      </c>
      <c r="AG686">
        <v>4</v>
      </c>
      <c r="AH686">
        <v>3</v>
      </c>
      <c r="AI686">
        <v>97.26000000000001</v>
      </c>
      <c r="AL686" t="s">
        <v>6801</v>
      </c>
      <c r="AM686">
        <v>37940</v>
      </c>
    </row>
    <row r="687" spans="1:44">
      <c r="A687" s="1">
        <f>HYPERLINK("https://lsnyc.legalserver.org/matter/dynamic-profile/view/1902841","19-1902841")</f>
        <v>0</v>
      </c>
      <c r="B687" t="s">
        <v>116</v>
      </c>
      <c r="C687" t="s">
        <v>335</v>
      </c>
      <c r="E687" t="s">
        <v>854</v>
      </c>
      <c r="F687" t="s">
        <v>1719</v>
      </c>
      <c r="G687" t="s">
        <v>2686</v>
      </c>
      <c r="H687" t="s">
        <v>3149</v>
      </c>
      <c r="I687" t="s">
        <v>3493</v>
      </c>
      <c r="J687">
        <v>10452</v>
      </c>
      <c r="K687" t="s">
        <v>3522</v>
      </c>
      <c r="L687" t="s">
        <v>3525</v>
      </c>
      <c r="M687" t="s">
        <v>3838</v>
      </c>
      <c r="N687" t="s">
        <v>4109</v>
      </c>
      <c r="O687" t="s">
        <v>4134</v>
      </c>
      <c r="Q687" t="s">
        <v>4147</v>
      </c>
      <c r="R687" t="s">
        <v>3523</v>
      </c>
      <c r="T687" t="s">
        <v>4156</v>
      </c>
      <c r="V687" t="s">
        <v>336</v>
      </c>
      <c r="W687">
        <v>950</v>
      </c>
      <c r="X687" t="s">
        <v>4194</v>
      </c>
      <c r="Y687" t="s">
        <v>4206</v>
      </c>
      <c r="Z687" t="s">
        <v>4818</v>
      </c>
      <c r="AB687" t="s">
        <v>6173</v>
      </c>
      <c r="AC687">
        <v>9</v>
      </c>
      <c r="AD687" t="s">
        <v>6772</v>
      </c>
      <c r="AE687" t="s">
        <v>3526</v>
      </c>
      <c r="AF687">
        <v>4</v>
      </c>
      <c r="AG687">
        <v>1</v>
      </c>
      <c r="AH687">
        <v>2</v>
      </c>
      <c r="AI687">
        <v>97.27</v>
      </c>
      <c r="AL687" t="s">
        <v>6801</v>
      </c>
      <c r="AM687">
        <v>20748</v>
      </c>
    </row>
    <row r="688" spans="1:44">
      <c r="A688" s="1">
        <f>HYPERLINK("https://lsnyc.legalserver.org/matter/dynamic-profile/view/1913181","19-1913181")</f>
        <v>0</v>
      </c>
      <c r="B688" t="s">
        <v>47</v>
      </c>
      <c r="C688" t="s">
        <v>186</v>
      </c>
      <c r="E688" t="s">
        <v>855</v>
      </c>
      <c r="F688" t="s">
        <v>1720</v>
      </c>
      <c r="G688" t="s">
        <v>2687</v>
      </c>
      <c r="H688" t="s">
        <v>3339</v>
      </c>
      <c r="I688" t="s">
        <v>3488</v>
      </c>
      <c r="J688">
        <v>11354</v>
      </c>
      <c r="K688" t="s">
        <v>3522</v>
      </c>
      <c r="L688" t="s">
        <v>3525</v>
      </c>
      <c r="M688" t="s">
        <v>3839</v>
      </c>
      <c r="N688" t="s">
        <v>4107</v>
      </c>
      <c r="O688" t="s">
        <v>4134</v>
      </c>
      <c r="Q688" t="s">
        <v>4147</v>
      </c>
      <c r="R688" t="s">
        <v>3523</v>
      </c>
      <c r="T688" t="s">
        <v>4156</v>
      </c>
      <c r="U688" t="s">
        <v>4168</v>
      </c>
      <c r="V688" t="s">
        <v>4174</v>
      </c>
      <c r="W688">
        <v>1525</v>
      </c>
      <c r="X688" t="s">
        <v>4192</v>
      </c>
      <c r="Y688" t="s">
        <v>4201</v>
      </c>
      <c r="Z688" t="s">
        <v>4819</v>
      </c>
      <c r="AA688" t="s">
        <v>5482</v>
      </c>
      <c r="AB688" t="s">
        <v>6174</v>
      </c>
      <c r="AC688">
        <v>12</v>
      </c>
      <c r="AD688" t="s">
        <v>6772</v>
      </c>
      <c r="AE688" t="s">
        <v>3526</v>
      </c>
      <c r="AF688">
        <v>2</v>
      </c>
      <c r="AG688">
        <v>2</v>
      </c>
      <c r="AH688">
        <v>1</v>
      </c>
      <c r="AI688">
        <v>97.52</v>
      </c>
      <c r="AL688" t="s">
        <v>6803</v>
      </c>
      <c r="AM688">
        <v>20800</v>
      </c>
    </row>
    <row r="689" spans="1:40">
      <c r="A689" s="1">
        <f>HYPERLINK("https://lsnyc.legalserver.org/matter/dynamic-profile/view/1914579","19-1914579")</f>
        <v>0</v>
      </c>
      <c r="B689" t="s">
        <v>91</v>
      </c>
      <c r="C689" t="s">
        <v>269</v>
      </c>
      <c r="D689" t="s">
        <v>242</v>
      </c>
      <c r="E689" t="s">
        <v>856</v>
      </c>
      <c r="F689" t="s">
        <v>1721</v>
      </c>
      <c r="G689" t="s">
        <v>2251</v>
      </c>
      <c r="H689" t="s">
        <v>3179</v>
      </c>
      <c r="I689" t="s">
        <v>3495</v>
      </c>
      <c r="J689">
        <v>10035</v>
      </c>
      <c r="K689" t="s">
        <v>3522</v>
      </c>
      <c r="L689" t="s">
        <v>3525</v>
      </c>
      <c r="N689" t="s">
        <v>3554</v>
      </c>
      <c r="O689" t="s">
        <v>4135</v>
      </c>
      <c r="P689" t="s">
        <v>4142</v>
      </c>
      <c r="Q689" t="s">
        <v>4147</v>
      </c>
      <c r="R689" t="s">
        <v>3522</v>
      </c>
      <c r="T689" t="s">
        <v>4156</v>
      </c>
      <c r="U689" t="s">
        <v>4168</v>
      </c>
      <c r="V689" t="s">
        <v>273</v>
      </c>
      <c r="W689">
        <v>2675</v>
      </c>
      <c r="X689" t="s">
        <v>4196</v>
      </c>
      <c r="Y689" t="s">
        <v>4198</v>
      </c>
      <c r="Z689" t="s">
        <v>4820</v>
      </c>
      <c r="AB689" t="s">
        <v>6175</v>
      </c>
      <c r="AC689">
        <v>33</v>
      </c>
      <c r="AD689" t="s">
        <v>6772</v>
      </c>
      <c r="AE689" t="s">
        <v>6786</v>
      </c>
      <c r="AF689">
        <v>2</v>
      </c>
      <c r="AG689">
        <v>3</v>
      </c>
      <c r="AH689">
        <v>0</v>
      </c>
      <c r="AI689">
        <v>97.52</v>
      </c>
      <c r="AL689" t="s">
        <v>6801</v>
      </c>
      <c r="AM689">
        <v>20800</v>
      </c>
    </row>
    <row r="690" spans="1:40">
      <c r="A690" s="1">
        <f>HYPERLINK("https://lsnyc.legalserver.org/matter/dynamic-profile/view/1916345","19-1916345")</f>
        <v>0</v>
      </c>
      <c r="B690" t="s">
        <v>91</v>
      </c>
      <c r="C690" t="s">
        <v>223</v>
      </c>
      <c r="E690" t="s">
        <v>856</v>
      </c>
      <c r="F690" t="s">
        <v>1721</v>
      </c>
      <c r="G690" t="s">
        <v>2251</v>
      </c>
      <c r="H690" t="s">
        <v>3179</v>
      </c>
      <c r="I690" t="s">
        <v>3495</v>
      </c>
      <c r="J690">
        <v>10035</v>
      </c>
      <c r="K690" t="s">
        <v>3522</v>
      </c>
      <c r="L690" t="s">
        <v>3525</v>
      </c>
      <c r="N690" t="s">
        <v>3554</v>
      </c>
      <c r="O690" t="s">
        <v>4135</v>
      </c>
      <c r="Q690" t="s">
        <v>4147</v>
      </c>
      <c r="R690" t="s">
        <v>3522</v>
      </c>
      <c r="T690" t="s">
        <v>4156</v>
      </c>
      <c r="U690" t="s">
        <v>4168</v>
      </c>
      <c r="V690" t="s">
        <v>223</v>
      </c>
      <c r="W690">
        <v>2675</v>
      </c>
      <c r="X690" t="s">
        <v>4196</v>
      </c>
      <c r="Y690" t="s">
        <v>4201</v>
      </c>
      <c r="Z690" t="s">
        <v>4820</v>
      </c>
      <c r="AB690" t="s">
        <v>6175</v>
      </c>
      <c r="AC690">
        <v>33</v>
      </c>
      <c r="AD690" t="s">
        <v>6772</v>
      </c>
      <c r="AE690" t="s">
        <v>6786</v>
      </c>
      <c r="AF690">
        <v>2</v>
      </c>
      <c r="AG690">
        <v>3</v>
      </c>
      <c r="AH690">
        <v>0</v>
      </c>
      <c r="AI690">
        <v>97.52</v>
      </c>
      <c r="AL690" t="s">
        <v>6801</v>
      </c>
      <c r="AM690">
        <v>20800</v>
      </c>
    </row>
    <row r="691" spans="1:40">
      <c r="A691" s="1">
        <f>HYPERLINK("https://lsnyc.legalserver.org/matter/dynamic-profile/view/1910547","19-1910547")</f>
        <v>0</v>
      </c>
      <c r="B691" t="s">
        <v>52</v>
      </c>
      <c r="C691" t="s">
        <v>203</v>
      </c>
      <c r="D691" t="s">
        <v>243</v>
      </c>
      <c r="E691" t="s">
        <v>857</v>
      </c>
      <c r="F691" t="s">
        <v>1404</v>
      </c>
      <c r="G691" t="s">
        <v>2688</v>
      </c>
      <c r="H691" t="s">
        <v>3154</v>
      </c>
      <c r="I691" t="s">
        <v>3490</v>
      </c>
      <c r="J691">
        <v>11231</v>
      </c>
      <c r="K691" t="s">
        <v>3522</v>
      </c>
      <c r="L691" t="s">
        <v>3525</v>
      </c>
      <c r="M691" t="s">
        <v>3840</v>
      </c>
      <c r="N691" t="s">
        <v>4109</v>
      </c>
      <c r="O691" t="s">
        <v>4134</v>
      </c>
      <c r="P691" t="s">
        <v>4140</v>
      </c>
      <c r="Q691" t="s">
        <v>4147</v>
      </c>
      <c r="R691" t="s">
        <v>3523</v>
      </c>
      <c r="T691" t="s">
        <v>4156</v>
      </c>
      <c r="U691" t="s">
        <v>4168</v>
      </c>
      <c r="V691" t="s">
        <v>203</v>
      </c>
      <c r="W691">
        <v>787.48</v>
      </c>
      <c r="X691" t="s">
        <v>4193</v>
      </c>
      <c r="Y691" t="s">
        <v>4201</v>
      </c>
      <c r="Z691" t="s">
        <v>4821</v>
      </c>
      <c r="AB691" t="s">
        <v>6176</v>
      </c>
      <c r="AC691">
        <v>9</v>
      </c>
      <c r="AD691" t="s">
        <v>6772</v>
      </c>
      <c r="AE691" t="s">
        <v>4200</v>
      </c>
      <c r="AF691">
        <v>21</v>
      </c>
      <c r="AG691">
        <v>2</v>
      </c>
      <c r="AH691">
        <v>0</v>
      </c>
      <c r="AI691">
        <v>97.76000000000001</v>
      </c>
      <c r="AL691" t="s">
        <v>6801</v>
      </c>
      <c r="AM691">
        <v>16532</v>
      </c>
    </row>
    <row r="692" spans="1:40">
      <c r="A692" s="1">
        <f>HYPERLINK("https://lsnyc.legalserver.org/matter/dynamic-profile/view/1908599","19-1908599")</f>
        <v>0</v>
      </c>
      <c r="B692" t="s">
        <v>55</v>
      </c>
      <c r="C692" t="s">
        <v>279</v>
      </c>
      <c r="D692" t="s">
        <v>203</v>
      </c>
      <c r="E692" t="s">
        <v>858</v>
      </c>
      <c r="F692" t="s">
        <v>755</v>
      </c>
      <c r="G692" t="s">
        <v>2195</v>
      </c>
      <c r="H692" t="s">
        <v>3320</v>
      </c>
      <c r="I692" t="s">
        <v>3490</v>
      </c>
      <c r="J692">
        <v>11233</v>
      </c>
      <c r="K692" t="s">
        <v>3522</v>
      </c>
      <c r="L692" t="s">
        <v>3525</v>
      </c>
      <c r="M692" t="s">
        <v>3841</v>
      </c>
      <c r="N692" t="s">
        <v>4109</v>
      </c>
      <c r="O692" t="s">
        <v>4132</v>
      </c>
      <c r="P692" t="s">
        <v>4139</v>
      </c>
      <c r="Q692" t="s">
        <v>4147</v>
      </c>
      <c r="R692" t="s">
        <v>3523</v>
      </c>
      <c r="T692" t="s">
        <v>4156</v>
      </c>
      <c r="U692" t="s">
        <v>4168</v>
      </c>
      <c r="V692" t="s">
        <v>279</v>
      </c>
      <c r="W692">
        <v>827.8200000000001</v>
      </c>
      <c r="X692" t="s">
        <v>4193</v>
      </c>
      <c r="Y692" t="s">
        <v>4201</v>
      </c>
      <c r="Z692" t="s">
        <v>4822</v>
      </c>
      <c r="AA692">
        <v>32751364</v>
      </c>
      <c r="AB692" t="s">
        <v>6177</v>
      </c>
      <c r="AC692">
        <v>359</v>
      </c>
      <c r="AD692" t="s">
        <v>6772</v>
      </c>
      <c r="AE692" t="s">
        <v>6789</v>
      </c>
      <c r="AF692">
        <v>24</v>
      </c>
      <c r="AG692">
        <v>2</v>
      </c>
      <c r="AH692">
        <v>0</v>
      </c>
      <c r="AI692">
        <v>97.98</v>
      </c>
      <c r="AL692" t="s">
        <v>6801</v>
      </c>
      <c r="AM692">
        <v>16568.3</v>
      </c>
    </row>
    <row r="693" spans="1:40">
      <c r="A693" s="1">
        <f>HYPERLINK("https://lsnyc.legalserver.org/matter/dynamic-profile/view/1910604","19-1910604")</f>
        <v>0</v>
      </c>
      <c r="B693" t="s">
        <v>52</v>
      </c>
      <c r="C693" t="s">
        <v>177</v>
      </c>
      <c r="E693" t="s">
        <v>859</v>
      </c>
      <c r="F693" t="s">
        <v>1281</v>
      </c>
      <c r="G693" t="s">
        <v>2203</v>
      </c>
      <c r="H693" t="s">
        <v>3201</v>
      </c>
      <c r="I693" t="s">
        <v>3490</v>
      </c>
      <c r="J693">
        <v>11226</v>
      </c>
      <c r="K693" t="s">
        <v>3522</v>
      </c>
      <c r="L693" t="s">
        <v>3525</v>
      </c>
      <c r="N693" t="s">
        <v>4108</v>
      </c>
      <c r="O693" t="s">
        <v>4134</v>
      </c>
      <c r="Q693" t="s">
        <v>4147</v>
      </c>
      <c r="R693" t="s">
        <v>3522</v>
      </c>
      <c r="T693" t="s">
        <v>4156</v>
      </c>
      <c r="U693" t="s">
        <v>4168</v>
      </c>
      <c r="V693" t="s">
        <v>177</v>
      </c>
      <c r="W693">
        <v>2100</v>
      </c>
      <c r="X693" t="s">
        <v>4193</v>
      </c>
      <c r="Y693" t="s">
        <v>4206</v>
      </c>
      <c r="Z693" t="s">
        <v>4823</v>
      </c>
      <c r="AC693">
        <v>16</v>
      </c>
      <c r="AD693" t="s">
        <v>6772</v>
      </c>
      <c r="AE693" t="s">
        <v>4200</v>
      </c>
      <c r="AF693">
        <v>-1</v>
      </c>
      <c r="AG693">
        <v>3</v>
      </c>
      <c r="AH693">
        <v>3</v>
      </c>
      <c r="AI693">
        <v>98.38</v>
      </c>
      <c r="AL693" t="s">
        <v>6801</v>
      </c>
      <c r="AM693">
        <v>34028</v>
      </c>
    </row>
    <row r="694" spans="1:40">
      <c r="A694" s="1">
        <f>HYPERLINK("https://lsnyc.legalserver.org/matter/dynamic-profile/view/1910617","19-1910617")</f>
        <v>0</v>
      </c>
      <c r="B694" t="s">
        <v>52</v>
      </c>
      <c r="C694" t="s">
        <v>177</v>
      </c>
      <c r="E694" t="s">
        <v>859</v>
      </c>
      <c r="F694" t="s">
        <v>1281</v>
      </c>
      <c r="G694" t="s">
        <v>2203</v>
      </c>
      <c r="H694" t="s">
        <v>3201</v>
      </c>
      <c r="I694" t="s">
        <v>3490</v>
      </c>
      <c r="J694">
        <v>11226</v>
      </c>
      <c r="K694" t="s">
        <v>3522</v>
      </c>
      <c r="L694" t="s">
        <v>3525</v>
      </c>
      <c r="N694" t="s">
        <v>4108</v>
      </c>
      <c r="O694" t="s">
        <v>4134</v>
      </c>
      <c r="Q694" t="s">
        <v>4147</v>
      </c>
      <c r="R694" t="s">
        <v>3522</v>
      </c>
      <c r="T694" t="s">
        <v>4156</v>
      </c>
      <c r="U694" t="s">
        <v>4168</v>
      </c>
      <c r="V694" t="s">
        <v>177</v>
      </c>
      <c r="W694">
        <v>2100</v>
      </c>
      <c r="X694" t="s">
        <v>4193</v>
      </c>
      <c r="Y694" t="s">
        <v>4206</v>
      </c>
      <c r="Z694" t="s">
        <v>4823</v>
      </c>
      <c r="AC694">
        <v>16</v>
      </c>
      <c r="AD694" t="s">
        <v>6772</v>
      </c>
      <c r="AE694" t="s">
        <v>4200</v>
      </c>
      <c r="AF694">
        <v>-1</v>
      </c>
      <c r="AG694">
        <v>3</v>
      </c>
      <c r="AH694">
        <v>3</v>
      </c>
      <c r="AI694">
        <v>98.38</v>
      </c>
      <c r="AL694" t="s">
        <v>6801</v>
      </c>
      <c r="AM694">
        <v>34028</v>
      </c>
    </row>
    <row r="695" spans="1:40">
      <c r="A695" s="1">
        <f>HYPERLINK("https://lsnyc.legalserver.org/matter/dynamic-profile/view/1906143","19-1906143")</f>
        <v>0</v>
      </c>
      <c r="B695" t="s">
        <v>46</v>
      </c>
      <c r="C695" t="s">
        <v>285</v>
      </c>
      <c r="E695" t="s">
        <v>860</v>
      </c>
      <c r="F695" t="s">
        <v>1722</v>
      </c>
      <c r="G695" t="s">
        <v>2689</v>
      </c>
      <c r="H695" t="s">
        <v>3340</v>
      </c>
      <c r="I695" t="s">
        <v>3481</v>
      </c>
      <c r="J695">
        <v>11420</v>
      </c>
      <c r="K695" t="s">
        <v>3522</v>
      </c>
      <c r="L695" t="s">
        <v>3525</v>
      </c>
      <c r="M695" t="s">
        <v>3842</v>
      </c>
      <c r="N695" t="s">
        <v>4107</v>
      </c>
      <c r="O695" t="s">
        <v>4132</v>
      </c>
      <c r="Q695" t="s">
        <v>4148</v>
      </c>
      <c r="R695" t="s">
        <v>3523</v>
      </c>
      <c r="T695" t="s">
        <v>4156</v>
      </c>
      <c r="U695" t="s">
        <v>4168</v>
      </c>
      <c r="V695" t="s">
        <v>285</v>
      </c>
      <c r="W695">
        <v>0.01</v>
      </c>
      <c r="X695" t="s">
        <v>4192</v>
      </c>
      <c r="Y695" t="s">
        <v>4199</v>
      </c>
      <c r="Z695" t="s">
        <v>4824</v>
      </c>
      <c r="AB695" t="s">
        <v>6178</v>
      </c>
      <c r="AC695">
        <v>2</v>
      </c>
      <c r="AD695" t="s">
        <v>6771</v>
      </c>
      <c r="AE695" t="s">
        <v>3526</v>
      </c>
      <c r="AF695">
        <v>2</v>
      </c>
      <c r="AG695">
        <v>2</v>
      </c>
      <c r="AH695">
        <v>0</v>
      </c>
      <c r="AI695">
        <v>98.40000000000001</v>
      </c>
      <c r="AJ695" t="s">
        <v>6795</v>
      </c>
      <c r="AK695" t="s">
        <v>6798</v>
      </c>
      <c r="AL695" t="s">
        <v>6802</v>
      </c>
      <c r="AM695">
        <v>16640</v>
      </c>
    </row>
    <row r="696" spans="1:40">
      <c r="A696" s="1">
        <f>HYPERLINK("https://lsnyc.legalserver.org/matter/dynamic-profile/view/1906165","19-1906165")</f>
        <v>0</v>
      </c>
      <c r="B696" t="s">
        <v>55</v>
      </c>
      <c r="C696" t="s">
        <v>188</v>
      </c>
      <c r="E696" t="s">
        <v>861</v>
      </c>
      <c r="F696" t="s">
        <v>1610</v>
      </c>
      <c r="G696" t="s">
        <v>2690</v>
      </c>
      <c r="H696" t="s">
        <v>3341</v>
      </c>
      <c r="I696" t="s">
        <v>3490</v>
      </c>
      <c r="J696">
        <v>11233</v>
      </c>
      <c r="K696" t="s">
        <v>3522</v>
      </c>
      <c r="L696" t="s">
        <v>3525</v>
      </c>
      <c r="M696" t="s">
        <v>3843</v>
      </c>
      <c r="N696" t="s">
        <v>4109</v>
      </c>
      <c r="O696" t="s">
        <v>4134</v>
      </c>
      <c r="Q696" t="s">
        <v>4147</v>
      </c>
      <c r="R696" t="s">
        <v>3523</v>
      </c>
      <c r="T696" t="s">
        <v>4156</v>
      </c>
      <c r="U696" t="s">
        <v>4167</v>
      </c>
      <c r="V696" t="s">
        <v>239</v>
      </c>
      <c r="W696">
        <v>2100</v>
      </c>
      <c r="X696" t="s">
        <v>4193</v>
      </c>
      <c r="Y696" t="s">
        <v>4200</v>
      </c>
      <c r="Z696" t="s">
        <v>4825</v>
      </c>
      <c r="AA696">
        <v>6659617</v>
      </c>
      <c r="AB696" t="s">
        <v>6179</v>
      </c>
      <c r="AC696">
        <v>287</v>
      </c>
      <c r="AD696" t="s">
        <v>6772</v>
      </c>
      <c r="AE696" t="s">
        <v>6786</v>
      </c>
      <c r="AF696">
        <v>3</v>
      </c>
      <c r="AG696">
        <v>1</v>
      </c>
      <c r="AH696">
        <v>0</v>
      </c>
      <c r="AI696">
        <v>98.8</v>
      </c>
      <c r="AL696" t="s">
        <v>6801</v>
      </c>
      <c r="AM696">
        <v>12340</v>
      </c>
    </row>
    <row r="697" spans="1:40">
      <c r="A697" s="1">
        <f>HYPERLINK("https://lsnyc.legalserver.org/matter/dynamic-profile/view/1915716","19-1915716")</f>
        <v>0</v>
      </c>
      <c r="B697" t="s">
        <v>94</v>
      </c>
      <c r="C697" t="s">
        <v>248</v>
      </c>
      <c r="E697" t="s">
        <v>683</v>
      </c>
      <c r="F697" t="s">
        <v>1544</v>
      </c>
      <c r="G697" t="s">
        <v>2480</v>
      </c>
      <c r="H697" t="s">
        <v>3162</v>
      </c>
      <c r="I697" t="s">
        <v>3495</v>
      </c>
      <c r="J697">
        <v>10035</v>
      </c>
      <c r="K697" t="s">
        <v>3522</v>
      </c>
      <c r="L697" t="s">
        <v>3525</v>
      </c>
      <c r="N697" t="s">
        <v>4110</v>
      </c>
      <c r="O697" t="s">
        <v>4137</v>
      </c>
      <c r="Q697" t="s">
        <v>4147</v>
      </c>
      <c r="R697" t="s">
        <v>3522</v>
      </c>
      <c r="T697" t="s">
        <v>4156</v>
      </c>
      <c r="U697" t="s">
        <v>4168</v>
      </c>
      <c r="V697" t="s">
        <v>248</v>
      </c>
      <c r="W697">
        <v>1350</v>
      </c>
      <c r="X697" t="s">
        <v>4196</v>
      </c>
      <c r="Y697" t="s">
        <v>4201</v>
      </c>
      <c r="Z697" t="s">
        <v>4568</v>
      </c>
      <c r="AB697" t="s">
        <v>5950</v>
      </c>
      <c r="AC697">
        <v>60</v>
      </c>
      <c r="AD697" t="s">
        <v>6772</v>
      </c>
      <c r="AE697" t="s">
        <v>3526</v>
      </c>
      <c r="AF697">
        <v>7</v>
      </c>
      <c r="AG697">
        <v>2</v>
      </c>
      <c r="AH697">
        <v>4</v>
      </c>
      <c r="AI697">
        <v>98.87</v>
      </c>
      <c r="AL697" t="s">
        <v>6801</v>
      </c>
      <c r="AM697">
        <v>34200</v>
      </c>
    </row>
    <row r="698" spans="1:40">
      <c r="A698" s="1">
        <f>HYPERLINK("https://lsnyc.legalserver.org/matter/dynamic-profile/view/1907582","19-1907582")</f>
        <v>0</v>
      </c>
      <c r="B698" t="s">
        <v>87</v>
      </c>
      <c r="C698" t="s">
        <v>239</v>
      </c>
      <c r="D698" t="s">
        <v>248</v>
      </c>
      <c r="E698" t="s">
        <v>393</v>
      </c>
      <c r="F698" t="s">
        <v>1723</v>
      </c>
      <c r="G698" t="s">
        <v>2691</v>
      </c>
      <c r="H698" t="s">
        <v>3201</v>
      </c>
      <c r="I698" t="s">
        <v>3495</v>
      </c>
      <c r="J698">
        <v>10034</v>
      </c>
      <c r="K698" t="s">
        <v>3522</v>
      </c>
      <c r="L698" t="s">
        <v>3525</v>
      </c>
      <c r="N698" t="s">
        <v>4113</v>
      </c>
      <c r="O698" t="s">
        <v>4135</v>
      </c>
      <c r="P698" t="s">
        <v>4142</v>
      </c>
      <c r="Q698" t="s">
        <v>4147</v>
      </c>
      <c r="R698" t="s">
        <v>3523</v>
      </c>
      <c r="T698" t="s">
        <v>4156</v>
      </c>
      <c r="V698" t="s">
        <v>239</v>
      </c>
      <c r="W698">
        <v>857.51</v>
      </c>
      <c r="X698" t="s">
        <v>4196</v>
      </c>
      <c r="Y698" t="s">
        <v>4207</v>
      </c>
      <c r="Z698" t="s">
        <v>4826</v>
      </c>
      <c r="AB698" t="s">
        <v>6180</v>
      </c>
      <c r="AC698">
        <v>22</v>
      </c>
      <c r="AD698" t="s">
        <v>6772</v>
      </c>
      <c r="AE698" t="s">
        <v>3526</v>
      </c>
      <c r="AF698">
        <v>41</v>
      </c>
      <c r="AG698">
        <v>1</v>
      </c>
      <c r="AH698">
        <v>0</v>
      </c>
      <c r="AI698">
        <v>98.95999999999999</v>
      </c>
      <c r="AL698" t="s">
        <v>6802</v>
      </c>
      <c r="AM698">
        <v>12360</v>
      </c>
    </row>
    <row r="699" spans="1:40">
      <c r="A699" s="1">
        <f>HYPERLINK("https://lsnyc.legalserver.org/matter/dynamic-profile/view/1909957","19-1909957")</f>
        <v>0</v>
      </c>
      <c r="B699" t="s">
        <v>96</v>
      </c>
      <c r="C699" t="s">
        <v>234</v>
      </c>
      <c r="E699" t="s">
        <v>586</v>
      </c>
      <c r="F699" t="s">
        <v>1724</v>
      </c>
      <c r="G699" t="s">
        <v>2692</v>
      </c>
      <c r="H699">
        <v>7</v>
      </c>
      <c r="I699" t="s">
        <v>3493</v>
      </c>
      <c r="J699">
        <v>10454</v>
      </c>
      <c r="K699" t="s">
        <v>3522</v>
      </c>
      <c r="L699" t="s">
        <v>3525</v>
      </c>
      <c r="O699" t="s">
        <v>4132</v>
      </c>
      <c r="Q699" t="s">
        <v>4147</v>
      </c>
      <c r="R699" t="s">
        <v>3523</v>
      </c>
      <c r="T699" t="s">
        <v>4156</v>
      </c>
      <c r="V699" t="s">
        <v>227</v>
      </c>
      <c r="W699">
        <v>500</v>
      </c>
      <c r="X699" t="s">
        <v>4194</v>
      </c>
      <c r="Y699" t="s">
        <v>4206</v>
      </c>
      <c r="Z699" t="s">
        <v>4827</v>
      </c>
      <c r="AB699" t="s">
        <v>6181</v>
      </c>
      <c r="AC699">
        <v>1</v>
      </c>
      <c r="AD699" t="s">
        <v>6785</v>
      </c>
      <c r="AE699" t="s">
        <v>3526</v>
      </c>
      <c r="AF699">
        <v>14</v>
      </c>
      <c r="AG699">
        <v>1</v>
      </c>
      <c r="AH699">
        <v>0</v>
      </c>
      <c r="AI699">
        <v>99.34</v>
      </c>
      <c r="AL699" t="s">
        <v>6801</v>
      </c>
      <c r="AM699">
        <v>12408</v>
      </c>
    </row>
    <row r="700" spans="1:40">
      <c r="A700" s="1">
        <f>HYPERLINK("https://lsnyc.legalserver.org/matter/dynamic-profile/view/1903749","19-1903749")</f>
        <v>0</v>
      </c>
      <c r="B700" t="s">
        <v>65</v>
      </c>
      <c r="C700" t="s">
        <v>336</v>
      </c>
      <c r="E700" t="s">
        <v>586</v>
      </c>
      <c r="F700" t="s">
        <v>1511</v>
      </c>
      <c r="G700" t="s">
        <v>2640</v>
      </c>
      <c r="H700" t="s">
        <v>3177</v>
      </c>
      <c r="I700" t="s">
        <v>3490</v>
      </c>
      <c r="J700">
        <v>11220</v>
      </c>
      <c r="K700" t="s">
        <v>3522</v>
      </c>
      <c r="L700" t="s">
        <v>3525</v>
      </c>
      <c r="N700" t="s">
        <v>4108</v>
      </c>
      <c r="O700" t="s">
        <v>4134</v>
      </c>
      <c r="Q700" t="s">
        <v>4147</v>
      </c>
      <c r="R700" t="s">
        <v>3522</v>
      </c>
      <c r="S700" t="s">
        <v>4149</v>
      </c>
      <c r="T700" t="s">
        <v>4156</v>
      </c>
      <c r="V700" t="s">
        <v>336</v>
      </c>
      <c r="W700">
        <v>1375</v>
      </c>
      <c r="X700" t="s">
        <v>4193</v>
      </c>
      <c r="Z700" t="s">
        <v>4828</v>
      </c>
      <c r="AB700" t="s">
        <v>6182</v>
      </c>
      <c r="AC700">
        <v>54</v>
      </c>
      <c r="AD700" t="s">
        <v>6772</v>
      </c>
      <c r="AF700">
        <v>16</v>
      </c>
      <c r="AG700">
        <v>2</v>
      </c>
      <c r="AH700">
        <v>0</v>
      </c>
      <c r="AI700">
        <v>99.34999999999999</v>
      </c>
      <c r="AL700" t="s">
        <v>6801</v>
      </c>
      <c r="AM700">
        <v>16800</v>
      </c>
    </row>
    <row r="701" spans="1:40">
      <c r="A701" s="1">
        <f>HYPERLINK("https://lsnyc.legalserver.org/matter/dynamic-profile/view/1905201","19-1905201")</f>
        <v>0</v>
      </c>
      <c r="B701" t="s">
        <v>75</v>
      </c>
      <c r="C701" t="s">
        <v>255</v>
      </c>
      <c r="E701" t="s">
        <v>404</v>
      </c>
      <c r="F701" t="s">
        <v>803</v>
      </c>
      <c r="G701" t="s">
        <v>2368</v>
      </c>
      <c r="H701" t="s">
        <v>3189</v>
      </c>
      <c r="I701" t="s">
        <v>3493</v>
      </c>
      <c r="J701">
        <v>10453</v>
      </c>
      <c r="K701" t="s">
        <v>3522</v>
      </c>
      <c r="L701" t="s">
        <v>3525</v>
      </c>
      <c r="M701" t="s">
        <v>3662</v>
      </c>
      <c r="N701" t="s">
        <v>4110</v>
      </c>
      <c r="O701" t="s">
        <v>4137</v>
      </c>
      <c r="Q701" t="s">
        <v>4147</v>
      </c>
      <c r="R701" t="s">
        <v>3522</v>
      </c>
      <c r="T701" t="s">
        <v>4156</v>
      </c>
      <c r="V701" t="s">
        <v>4181</v>
      </c>
      <c r="W701">
        <v>880.27</v>
      </c>
      <c r="X701" t="s">
        <v>4194</v>
      </c>
      <c r="Y701" t="s">
        <v>4206</v>
      </c>
      <c r="Z701" t="s">
        <v>4829</v>
      </c>
      <c r="AB701" t="s">
        <v>6183</v>
      </c>
      <c r="AC701">
        <v>170</v>
      </c>
      <c r="AD701" t="s">
        <v>6772</v>
      </c>
      <c r="AE701" t="s">
        <v>3526</v>
      </c>
      <c r="AF701">
        <v>20</v>
      </c>
      <c r="AG701">
        <v>2</v>
      </c>
      <c r="AH701">
        <v>4</v>
      </c>
      <c r="AI701">
        <v>99.43000000000001</v>
      </c>
      <c r="AL701" t="s">
        <v>6801</v>
      </c>
      <c r="AM701">
        <v>34392</v>
      </c>
    </row>
    <row r="702" spans="1:40">
      <c r="A702" s="1">
        <f>HYPERLINK("https://lsnyc.legalserver.org/matter/dynamic-profile/view/1905991","19-1905991")</f>
        <v>0</v>
      </c>
      <c r="B702" t="s">
        <v>58</v>
      </c>
      <c r="C702" t="s">
        <v>285</v>
      </c>
      <c r="E702" t="s">
        <v>400</v>
      </c>
      <c r="F702" t="s">
        <v>661</v>
      </c>
      <c r="G702" t="s">
        <v>2189</v>
      </c>
      <c r="H702" t="s">
        <v>3342</v>
      </c>
      <c r="I702" t="s">
        <v>3490</v>
      </c>
      <c r="J702">
        <v>11233</v>
      </c>
      <c r="K702" t="s">
        <v>3522</v>
      </c>
      <c r="L702" t="s">
        <v>3525</v>
      </c>
      <c r="M702" t="s">
        <v>3562</v>
      </c>
      <c r="N702" t="s">
        <v>4112</v>
      </c>
      <c r="O702" t="s">
        <v>4135</v>
      </c>
      <c r="Q702" t="s">
        <v>4147</v>
      </c>
      <c r="R702" t="s">
        <v>3523</v>
      </c>
      <c r="T702" t="s">
        <v>4156</v>
      </c>
      <c r="U702" t="s">
        <v>4168</v>
      </c>
      <c r="V702" t="s">
        <v>336</v>
      </c>
      <c r="W702">
        <v>1200</v>
      </c>
      <c r="X702" t="s">
        <v>4193</v>
      </c>
      <c r="Y702" t="s">
        <v>4206</v>
      </c>
      <c r="Z702" t="s">
        <v>4830</v>
      </c>
      <c r="AA702" t="s">
        <v>3562</v>
      </c>
      <c r="AC702">
        <v>359</v>
      </c>
      <c r="AD702" t="s">
        <v>6772</v>
      </c>
      <c r="AE702" t="s">
        <v>3526</v>
      </c>
      <c r="AF702">
        <v>26</v>
      </c>
      <c r="AG702">
        <v>4</v>
      </c>
      <c r="AH702">
        <v>1</v>
      </c>
      <c r="AI702">
        <v>99.44</v>
      </c>
      <c r="AL702" t="s">
        <v>6801</v>
      </c>
      <c r="AM702">
        <v>30000</v>
      </c>
      <c r="AN702" t="s">
        <v>6833</v>
      </c>
    </row>
    <row r="703" spans="1:40">
      <c r="A703" s="1">
        <f>HYPERLINK("https://lsnyc.legalserver.org/matter/dynamic-profile/view/1904013","19-1904013")</f>
        <v>0</v>
      </c>
      <c r="B703" t="s">
        <v>104</v>
      </c>
      <c r="C703" t="s">
        <v>274</v>
      </c>
      <c r="D703" t="s">
        <v>299</v>
      </c>
      <c r="E703" t="s">
        <v>597</v>
      </c>
      <c r="F703" t="s">
        <v>1621</v>
      </c>
      <c r="G703" t="s">
        <v>2693</v>
      </c>
      <c r="H703">
        <v>2</v>
      </c>
      <c r="I703" t="s">
        <v>3493</v>
      </c>
      <c r="J703">
        <v>10460</v>
      </c>
      <c r="K703" t="s">
        <v>3523</v>
      </c>
      <c r="L703" t="s">
        <v>3526</v>
      </c>
      <c r="M703" t="s">
        <v>3844</v>
      </c>
      <c r="N703" t="s">
        <v>4109</v>
      </c>
      <c r="O703" t="s">
        <v>4132</v>
      </c>
      <c r="P703" t="s">
        <v>4139</v>
      </c>
      <c r="Q703" t="s">
        <v>4147</v>
      </c>
      <c r="R703" t="s">
        <v>3523</v>
      </c>
      <c r="T703" t="s">
        <v>4156</v>
      </c>
      <c r="V703" t="s">
        <v>199</v>
      </c>
      <c r="W703">
        <v>1179</v>
      </c>
      <c r="X703" t="s">
        <v>4194</v>
      </c>
      <c r="Y703" t="s">
        <v>4201</v>
      </c>
      <c r="Z703" t="s">
        <v>4831</v>
      </c>
      <c r="AB703" t="s">
        <v>6184</v>
      </c>
      <c r="AC703">
        <v>25</v>
      </c>
      <c r="AD703" t="s">
        <v>6772</v>
      </c>
      <c r="AE703" t="s">
        <v>3526</v>
      </c>
      <c r="AF703">
        <v>14</v>
      </c>
      <c r="AG703">
        <v>1</v>
      </c>
      <c r="AH703">
        <v>0</v>
      </c>
      <c r="AI703">
        <v>99.92</v>
      </c>
      <c r="AL703" t="s">
        <v>6801</v>
      </c>
      <c r="AM703">
        <v>12480</v>
      </c>
    </row>
    <row r="704" spans="1:40">
      <c r="A704" s="1">
        <f>HYPERLINK("https://lsnyc.legalserver.org/matter/dynamic-profile/view/1910526","19-1910526")</f>
        <v>0</v>
      </c>
      <c r="B704" t="s">
        <v>116</v>
      </c>
      <c r="C704" t="s">
        <v>203</v>
      </c>
      <c r="E704" t="s">
        <v>862</v>
      </c>
      <c r="F704" t="s">
        <v>1379</v>
      </c>
      <c r="G704" t="s">
        <v>2694</v>
      </c>
      <c r="H704">
        <v>26</v>
      </c>
      <c r="I704" t="s">
        <v>3493</v>
      </c>
      <c r="J704">
        <v>10458</v>
      </c>
      <c r="K704" t="s">
        <v>3522</v>
      </c>
      <c r="L704" t="s">
        <v>3527</v>
      </c>
      <c r="M704" t="s">
        <v>3845</v>
      </c>
      <c r="N704" t="s">
        <v>4107</v>
      </c>
      <c r="Q704" t="s">
        <v>4147</v>
      </c>
      <c r="R704" t="s">
        <v>3523</v>
      </c>
      <c r="T704" t="s">
        <v>4156</v>
      </c>
      <c r="V704" t="s">
        <v>178</v>
      </c>
      <c r="W704">
        <v>986.4</v>
      </c>
      <c r="X704" t="s">
        <v>4194</v>
      </c>
      <c r="Y704" t="s">
        <v>4206</v>
      </c>
      <c r="Z704" t="s">
        <v>4832</v>
      </c>
      <c r="AA704" t="s">
        <v>5599</v>
      </c>
      <c r="AB704" t="s">
        <v>6185</v>
      </c>
      <c r="AC704">
        <v>30</v>
      </c>
      <c r="AD704" t="s">
        <v>6772</v>
      </c>
      <c r="AE704" t="s">
        <v>6787</v>
      </c>
      <c r="AF704">
        <v>5</v>
      </c>
      <c r="AG704">
        <v>1</v>
      </c>
      <c r="AH704">
        <v>0</v>
      </c>
      <c r="AI704">
        <v>99.92</v>
      </c>
      <c r="AL704" t="s">
        <v>6802</v>
      </c>
      <c r="AM704">
        <v>12480</v>
      </c>
    </row>
    <row r="705" spans="1:42">
      <c r="A705" s="1">
        <f>HYPERLINK("https://lsnyc.legalserver.org/matter/dynamic-profile/view/1911553","19-1911553")</f>
        <v>0</v>
      </c>
      <c r="B705" t="s">
        <v>123</v>
      </c>
      <c r="C705" t="s">
        <v>215</v>
      </c>
      <c r="E705" t="s">
        <v>863</v>
      </c>
      <c r="F705" t="s">
        <v>1725</v>
      </c>
      <c r="G705" t="s">
        <v>2454</v>
      </c>
      <c r="H705" t="s">
        <v>3176</v>
      </c>
      <c r="I705" t="s">
        <v>3495</v>
      </c>
      <c r="J705">
        <v>10040</v>
      </c>
      <c r="K705" t="s">
        <v>3522</v>
      </c>
      <c r="L705" t="s">
        <v>3525</v>
      </c>
      <c r="N705" t="s">
        <v>4115</v>
      </c>
      <c r="O705" t="s">
        <v>4134</v>
      </c>
      <c r="Q705" t="s">
        <v>4147</v>
      </c>
      <c r="R705" t="s">
        <v>3522</v>
      </c>
      <c r="T705" t="s">
        <v>4156</v>
      </c>
      <c r="V705" t="s">
        <v>215</v>
      </c>
      <c r="W705">
        <v>211</v>
      </c>
      <c r="X705" t="s">
        <v>4196</v>
      </c>
      <c r="Y705" t="s">
        <v>4201</v>
      </c>
      <c r="Z705" t="s">
        <v>4797</v>
      </c>
      <c r="AB705" t="s">
        <v>6186</v>
      </c>
      <c r="AC705">
        <v>44</v>
      </c>
      <c r="AD705" t="s">
        <v>6772</v>
      </c>
      <c r="AE705" t="s">
        <v>6786</v>
      </c>
      <c r="AF705">
        <v>24</v>
      </c>
      <c r="AG705">
        <v>1</v>
      </c>
      <c r="AH705">
        <v>0</v>
      </c>
      <c r="AI705">
        <v>100.39</v>
      </c>
      <c r="AL705" t="s">
        <v>6802</v>
      </c>
      <c r="AM705">
        <v>12539</v>
      </c>
    </row>
    <row r="706" spans="1:42">
      <c r="A706" s="1">
        <f>HYPERLINK("https://lsnyc.legalserver.org/matter/dynamic-profile/view/1912405","19-1912405")</f>
        <v>0</v>
      </c>
      <c r="B706" t="s">
        <v>123</v>
      </c>
      <c r="C706" t="s">
        <v>295</v>
      </c>
      <c r="E706" t="s">
        <v>863</v>
      </c>
      <c r="F706" t="s">
        <v>1725</v>
      </c>
      <c r="G706" t="s">
        <v>2454</v>
      </c>
      <c r="H706" t="s">
        <v>3176</v>
      </c>
      <c r="I706" t="s">
        <v>3495</v>
      </c>
      <c r="J706">
        <v>10040</v>
      </c>
      <c r="K706" t="s">
        <v>3522</v>
      </c>
      <c r="L706" t="s">
        <v>3525</v>
      </c>
      <c r="N706" t="s">
        <v>4110</v>
      </c>
      <c r="O706" t="s">
        <v>4134</v>
      </c>
      <c r="Q706" t="s">
        <v>4147</v>
      </c>
      <c r="R706" t="s">
        <v>3522</v>
      </c>
      <c r="T706" t="s">
        <v>4156</v>
      </c>
      <c r="V706" t="s">
        <v>295</v>
      </c>
      <c r="W706">
        <v>211</v>
      </c>
      <c r="X706" t="s">
        <v>4196</v>
      </c>
      <c r="Y706" t="s">
        <v>4201</v>
      </c>
      <c r="Z706" t="s">
        <v>4797</v>
      </c>
      <c r="AB706" t="s">
        <v>6186</v>
      </c>
      <c r="AC706">
        <v>44</v>
      </c>
      <c r="AD706" t="s">
        <v>6772</v>
      </c>
      <c r="AE706" t="s">
        <v>6786</v>
      </c>
      <c r="AF706">
        <v>24</v>
      </c>
      <c r="AG706">
        <v>1</v>
      </c>
      <c r="AH706">
        <v>0</v>
      </c>
      <c r="AI706">
        <v>100.39</v>
      </c>
      <c r="AL706" t="s">
        <v>6802</v>
      </c>
      <c r="AM706">
        <v>12539</v>
      </c>
    </row>
    <row r="707" spans="1:42">
      <c r="A707" s="1">
        <f>HYPERLINK("https://lsnyc.legalserver.org/matter/dynamic-profile/view/1912938","19-1912938")</f>
        <v>0</v>
      </c>
      <c r="B707" t="s">
        <v>123</v>
      </c>
      <c r="C707" t="s">
        <v>196</v>
      </c>
      <c r="D707" t="s">
        <v>258</v>
      </c>
      <c r="E707" t="s">
        <v>863</v>
      </c>
      <c r="F707" t="s">
        <v>1725</v>
      </c>
      <c r="G707" t="s">
        <v>2454</v>
      </c>
      <c r="H707" t="s">
        <v>3176</v>
      </c>
      <c r="I707" t="s">
        <v>3495</v>
      </c>
      <c r="J707">
        <v>10040</v>
      </c>
      <c r="K707" t="s">
        <v>3522</v>
      </c>
      <c r="L707" t="s">
        <v>3525</v>
      </c>
      <c r="M707" t="s">
        <v>3675</v>
      </c>
      <c r="N707" t="s">
        <v>4110</v>
      </c>
      <c r="O707" t="s">
        <v>4137</v>
      </c>
      <c r="P707" t="s">
        <v>4145</v>
      </c>
      <c r="Q707" t="s">
        <v>4147</v>
      </c>
      <c r="R707" t="s">
        <v>3522</v>
      </c>
      <c r="T707" t="s">
        <v>4156</v>
      </c>
      <c r="V707" t="s">
        <v>196</v>
      </c>
      <c r="W707">
        <v>211</v>
      </c>
      <c r="X707" t="s">
        <v>4196</v>
      </c>
      <c r="Y707" t="s">
        <v>4201</v>
      </c>
      <c r="Z707" t="s">
        <v>4797</v>
      </c>
      <c r="AB707" t="s">
        <v>6186</v>
      </c>
      <c r="AC707">
        <v>44</v>
      </c>
      <c r="AD707" t="s">
        <v>6772</v>
      </c>
      <c r="AE707" t="s">
        <v>6786</v>
      </c>
      <c r="AF707">
        <v>24</v>
      </c>
      <c r="AG707">
        <v>1</v>
      </c>
      <c r="AH707">
        <v>0</v>
      </c>
      <c r="AI707">
        <v>100.39</v>
      </c>
      <c r="AL707" t="s">
        <v>6802</v>
      </c>
      <c r="AM707">
        <v>12539</v>
      </c>
    </row>
    <row r="708" spans="1:42">
      <c r="A708" s="1">
        <f>HYPERLINK("https://lsnyc.legalserver.org/matter/dynamic-profile/view/1901147","19-1901147")</f>
        <v>0</v>
      </c>
      <c r="B708" t="s">
        <v>51</v>
      </c>
      <c r="C708" t="s">
        <v>300</v>
      </c>
      <c r="E708" t="s">
        <v>864</v>
      </c>
      <c r="F708" t="s">
        <v>1719</v>
      </c>
      <c r="G708" t="s">
        <v>2695</v>
      </c>
      <c r="H708" t="s">
        <v>3146</v>
      </c>
      <c r="I708" t="s">
        <v>3490</v>
      </c>
      <c r="J708">
        <v>11215</v>
      </c>
      <c r="K708" t="s">
        <v>3522</v>
      </c>
      <c r="L708" t="s">
        <v>3525</v>
      </c>
      <c r="N708" t="s">
        <v>4112</v>
      </c>
      <c r="O708" t="s">
        <v>4133</v>
      </c>
      <c r="Q708" t="s">
        <v>4147</v>
      </c>
      <c r="R708" t="s">
        <v>3523</v>
      </c>
      <c r="T708" t="s">
        <v>4156</v>
      </c>
      <c r="V708" t="s">
        <v>241</v>
      </c>
      <c r="W708">
        <v>985</v>
      </c>
      <c r="X708" t="s">
        <v>4193</v>
      </c>
      <c r="Y708" t="s">
        <v>4212</v>
      </c>
      <c r="Z708" t="s">
        <v>4833</v>
      </c>
      <c r="AB708" t="s">
        <v>6187</v>
      </c>
      <c r="AC708">
        <v>8</v>
      </c>
      <c r="AD708" t="s">
        <v>6772</v>
      </c>
      <c r="AE708" t="s">
        <v>6791</v>
      </c>
      <c r="AF708">
        <v>39</v>
      </c>
      <c r="AG708">
        <v>1</v>
      </c>
      <c r="AH708">
        <v>0</v>
      </c>
      <c r="AI708">
        <v>100.4</v>
      </c>
      <c r="AL708" t="s">
        <v>6801</v>
      </c>
      <c r="AM708">
        <v>12540</v>
      </c>
    </row>
    <row r="709" spans="1:42">
      <c r="A709" s="1">
        <f>HYPERLINK("https://lsnyc.legalserver.org/matter/dynamic-profile/view/1910459","19-1910459")</f>
        <v>0</v>
      </c>
      <c r="B709" t="s">
        <v>94</v>
      </c>
      <c r="C709" t="s">
        <v>214</v>
      </c>
      <c r="E709" t="s">
        <v>705</v>
      </c>
      <c r="F709" t="s">
        <v>1726</v>
      </c>
      <c r="G709" t="s">
        <v>2696</v>
      </c>
      <c r="H709" t="s">
        <v>3173</v>
      </c>
      <c r="I709" t="s">
        <v>3495</v>
      </c>
      <c r="J709">
        <v>10035</v>
      </c>
      <c r="K709" t="s">
        <v>3522</v>
      </c>
      <c r="L709" t="s">
        <v>3525</v>
      </c>
      <c r="M709" t="s">
        <v>3846</v>
      </c>
      <c r="N709" t="s">
        <v>4107</v>
      </c>
      <c r="O709" t="s">
        <v>4134</v>
      </c>
      <c r="Q709" t="s">
        <v>4147</v>
      </c>
      <c r="R709" t="s">
        <v>3523</v>
      </c>
      <c r="T709" t="s">
        <v>4156</v>
      </c>
      <c r="U709" t="s">
        <v>4168</v>
      </c>
      <c r="V709" t="s">
        <v>227</v>
      </c>
      <c r="W709">
        <v>650</v>
      </c>
      <c r="X709" t="s">
        <v>4196</v>
      </c>
      <c r="Y709" t="s">
        <v>4201</v>
      </c>
      <c r="Z709" t="s">
        <v>4834</v>
      </c>
      <c r="AB709" t="s">
        <v>6188</v>
      </c>
      <c r="AC709">
        <v>30</v>
      </c>
      <c r="AD709" t="s">
        <v>5524</v>
      </c>
      <c r="AE709" t="s">
        <v>3526</v>
      </c>
      <c r="AF709">
        <v>22</v>
      </c>
      <c r="AG709">
        <v>2</v>
      </c>
      <c r="AH709">
        <v>2</v>
      </c>
      <c r="AI709">
        <v>100.58</v>
      </c>
      <c r="AL709" t="s">
        <v>6801</v>
      </c>
      <c r="AM709">
        <v>25900</v>
      </c>
    </row>
    <row r="710" spans="1:42">
      <c r="A710" s="1">
        <f>HYPERLINK("https://lsnyc.legalserver.org/matter/dynamic-profile/view/1908666","19-1908666")</f>
        <v>0</v>
      </c>
      <c r="B710" t="s">
        <v>47</v>
      </c>
      <c r="C710" t="s">
        <v>205</v>
      </c>
      <c r="E710" t="s">
        <v>865</v>
      </c>
      <c r="F710" t="s">
        <v>1727</v>
      </c>
      <c r="G710" t="s">
        <v>2614</v>
      </c>
      <c r="H710" t="s">
        <v>3242</v>
      </c>
      <c r="I710" t="s">
        <v>3486</v>
      </c>
      <c r="J710">
        <v>11377</v>
      </c>
      <c r="K710" t="s">
        <v>3522</v>
      </c>
      <c r="L710" t="s">
        <v>3525</v>
      </c>
      <c r="M710" t="s">
        <v>3792</v>
      </c>
      <c r="N710" t="s">
        <v>4110</v>
      </c>
      <c r="O710" t="s">
        <v>4137</v>
      </c>
      <c r="Q710" t="s">
        <v>4147</v>
      </c>
      <c r="R710" t="s">
        <v>3522</v>
      </c>
      <c r="T710" t="s">
        <v>4156</v>
      </c>
      <c r="U710" t="s">
        <v>4168</v>
      </c>
      <c r="V710" t="s">
        <v>205</v>
      </c>
      <c r="W710">
        <v>1541.52</v>
      </c>
      <c r="X710" t="s">
        <v>4192</v>
      </c>
      <c r="Y710" t="s">
        <v>4206</v>
      </c>
      <c r="Z710" t="s">
        <v>4835</v>
      </c>
      <c r="AA710" t="s">
        <v>5482</v>
      </c>
      <c r="AB710" t="s">
        <v>5482</v>
      </c>
      <c r="AC710">
        <v>67</v>
      </c>
      <c r="AD710" t="s">
        <v>6772</v>
      </c>
      <c r="AE710" t="s">
        <v>3526</v>
      </c>
      <c r="AF710">
        <v>14</v>
      </c>
      <c r="AG710">
        <v>3</v>
      </c>
      <c r="AH710">
        <v>1</v>
      </c>
      <c r="AI710">
        <v>100.97</v>
      </c>
      <c r="AL710" t="s">
        <v>6802</v>
      </c>
      <c r="AM710">
        <v>26000</v>
      </c>
      <c r="AP710" t="s">
        <v>4200</v>
      </c>
    </row>
    <row r="711" spans="1:42">
      <c r="A711" s="1">
        <f>HYPERLINK("https://lsnyc.legalserver.org/matter/dynamic-profile/view/1908752","19-1908752")</f>
        <v>0</v>
      </c>
      <c r="B711" t="s">
        <v>47</v>
      </c>
      <c r="C711" t="s">
        <v>236</v>
      </c>
      <c r="E711" t="s">
        <v>865</v>
      </c>
      <c r="F711" t="s">
        <v>1727</v>
      </c>
      <c r="G711" t="s">
        <v>2614</v>
      </c>
      <c r="H711" t="s">
        <v>3242</v>
      </c>
      <c r="I711" t="s">
        <v>3486</v>
      </c>
      <c r="J711">
        <v>11377</v>
      </c>
      <c r="K711" t="s">
        <v>3522</v>
      </c>
      <c r="L711" t="s">
        <v>3525</v>
      </c>
      <c r="M711" t="s">
        <v>3793</v>
      </c>
      <c r="N711" t="s">
        <v>4110</v>
      </c>
      <c r="O711" t="s">
        <v>4137</v>
      </c>
      <c r="Q711" t="s">
        <v>4147</v>
      </c>
      <c r="R711" t="s">
        <v>3522</v>
      </c>
      <c r="T711" t="s">
        <v>4156</v>
      </c>
      <c r="V711" t="s">
        <v>4183</v>
      </c>
      <c r="W711">
        <v>1541.52</v>
      </c>
      <c r="X711" t="s">
        <v>4192</v>
      </c>
      <c r="Y711" t="s">
        <v>4206</v>
      </c>
      <c r="Z711" t="s">
        <v>4835</v>
      </c>
      <c r="AB711" t="s">
        <v>5482</v>
      </c>
      <c r="AC711">
        <v>67</v>
      </c>
      <c r="AD711" t="s">
        <v>6772</v>
      </c>
      <c r="AE711" t="s">
        <v>3526</v>
      </c>
      <c r="AF711">
        <v>14</v>
      </c>
      <c r="AG711">
        <v>3</v>
      </c>
      <c r="AH711">
        <v>1</v>
      </c>
      <c r="AI711">
        <v>100.97</v>
      </c>
      <c r="AL711" t="s">
        <v>6802</v>
      </c>
      <c r="AM711">
        <v>26000</v>
      </c>
    </row>
    <row r="712" spans="1:42">
      <c r="A712" s="1">
        <f>HYPERLINK("https://lsnyc.legalserver.org/matter/dynamic-profile/view/1905681","19-1905681")</f>
        <v>0</v>
      </c>
      <c r="B712" t="s">
        <v>52</v>
      </c>
      <c r="C712" t="s">
        <v>206</v>
      </c>
      <c r="E712" t="s">
        <v>866</v>
      </c>
      <c r="F712" t="s">
        <v>1351</v>
      </c>
      <c r="G712" t="s">
        <v>2410</v>
      </c>
      <c r="H712" t="s">
        <v>3343</v>
      </c>
      <c r="I712" t="s">
        <v>3490</v>
      </c>
      <c r="J712">
        <v>11226</v>
      </c>
      <c r="K712" t="s">
        <v>3522</v>
      </c>
      <c r="N712" t="s">
        <v>4110</v>
      </c>
      <c r="O712" t="s">
        <v>4137</v>
      </c>
      <c r="Q712" t="s">
        <v>4147</v>
      </c>
      <c r="R712" t="s">
        <v>3522</v>
      </c>
      <c r="T712" t="s">
        <v>4156</v>
      </c>
      <c r="V712" t="s">
        <v>206</v>
      </c>
      <c r="W712">
        <v>0</v>
      </c>
      <c r="X712" t="s">
        <v>4193</v>
      </c>
      <c r="Z712" t="s">
        <v>4836</v>
      </c>
      <c r="AB712" t="s">
        <v>6189</v>
      </c>
      <c r="AC712">
        <v>36</v>
      </c>
      <c r="AD712" t="s">
        <v>6772</v>
      </c>
      <c r="AF712">
        <v>0</v>
      </c>
      <c r="AG712">
        <v>4</v>
      </c>
      <c r="AH712">
        <v>0</v>
      </c>
      <c r="AI712">
        <v>100.97</v>
      </c>
      <c r="AL712" t="s">
        <v>6802</v>
      </c>
      <c r="AM712">
        <v>26000</v>
      </c>
    </row>
    <row r="713" spans="1:42">
      <c r="A713" s="1">
        <f>HYPERLINK("https://lsnyc.legalserver.org/matter/dynamic-profile/view/1914921","19-1914921")</f>
        <v>0</v>
      </c>
      <c r="B713" t="s">
        <v>67</v>
      </c>
      <c r="C713" t="s">
        <v>301</v>
      </c>
      <c r="E713" t="s">
        <v>867</v>
      </c>
      <c r="F713" t="s">
        <v>1728</v>
      </c>
      <c r="G713" t="s">
        <v>2212</v>
      </c>
      <c r="H713">
        <v>42</v>
      </c>
      <c r="I713" t="s">
        <v>3490</v>
      </c>
      <c r="J713">
        <v>11213</v>
      </c>
      <c r="K713" t="s">
        <v>3522</v>
      </c>
      <c r="L713" t="s">
        <v>3525</v>
      </c>
      <c r="M713" t="s">
        <v>3847</v>
      </c>
      <c r="N713" t="s">
        <v>4115</v>
      </c>
      <c r="O713" t="s">
        <v>4134</v>
      </c>
      <c r="Q713" t="s">
        <v>4147</v>
      </c>
      <c r="R713" t="s">
        <v>3522</v>
      </c>
      <c r="T713" t="s">
        <v>4156</v>
      </c>
      <c r="U713" t="s">
        <v>4168</v>
      </c>
      <c r="V713" t="s">
        <v>4178</v>
      </c>
      <c r="W713">
        <v>950</v>
      </c>
      <c r="X713" t="s">
        <v>4193</v>
      </c>
      <c r="Y713" t="s">
        <v>4206</v>
      </c>
      <c r="Z713" t="s">
        <v>4837</v>
      </c>
      <c r="AA713" t="s">
        <v>3526</v>
      </c>
      <c r="AB713" t="s">
        <v>6190</v>
      </c>
      <c r="AC713">
        <v>31</v>
      </c>
      <c r="AD713" t="s">
        <v>6772</v>
      </c>
      <c r="AE713" t="s">
        <v>3526</v>
      </c>
      <c r="AF713">
        <v>18</v>
      </c>
      <c r="AG713">
        <v>3</v>
      </c>
      <c r="AH713">
        <v>1</v>
      </c>
      <c r="AI713">
        <v>100.97</v>
      </c>
      <c r="AL713" t="s">
        <v>6801</v>
      </c>
      <c r="AM713">
        <v>26000</v>
      </c>
    </row>
    <row r="714" spans="1:42">
      <c r="A714" s="1">
        <f>HYPERLINK("https://lsnyc.legalserver.org/matter/dynamic-profile/view/1913476","19-1913476")</f>
        <v>0</v>
      </c>
      <c r="B714" t="s">
        <v>68</v>
      </c>
      <c r="C714" t="s">
        <v>237</v>
      </c>
      <c r="E714" t="s">
        <v>867</v>
      </c>
      <c r="F714" t="s">
        <v>1728</v>
      </c>
      <c r="G714" t="s">
        <v>2212</v>
      </c>
      <c r="H714">
        <v>42</v>
      </c>
      <c r="I714" t="s">
        <v>3490</v>
      </c>
      <c r="J714">
        <v>11213</v>
      </c>
      <c r="K714" t="s">
        <v>3522</v>
      </c>
      <c r="L714" t="s">
        <v>3525</v>
      </c>
      <c r="M714" t="s">
        <v>3526</v>
      </c>
      <c r="N714" t="s">
        <v>3554</v>
      </c>
      <c r="O714" t="s">
        <v>4135</v>
      </c>
      <c r="Q714" t="s">
        <v>4147</v>
      </c>
      <c r="R714" t="s">
        <v>3523</v>
      </c>
      <c r="T714" t="s">
        <v>4156</v>
      </c>
      <c r="U714" t="s">
        <v>4168</v>
      </c>
      <c r="V714" t="s">
        <v>237</v>
      </c>
      <c r="W714">
        <v>950</v>
      </c>
      <c r="X714" t="s">
        <v>4193</v>
      </c>
      <c r="Y714" t="s">
        <v>4206</v>
      </c>
      <c r="Z714" t="s">
        <v>4837</v>
      </c>
      <c r="AA714" t="s">
        <v>3526</v>
      </c>
      <c r="AB714" t="s">
        <v>6190</v>
      </c>
      <c r="AC714">
        <v>31</v>
      </c>
      <c r="AD714" t="s">
        <v>6772</v>
      </c>
      <c r="AE714" t="s">
        <v>3526</v>
      </c>
      <c r="AF714">
        <v>18</v>
      </c>
      <c r="AG714">
        <v>3</v>
      </c>
      <c r="AH714">
        <v>1</v>
      </c>
      <c r="AI714">
        <v>100.97</v>
      </c>
      <c r="AL714" t="s">
        <v>6801</v>
      </c>
      <c r="AM714">
        <v>26000</v>
      </c>
    </row>
    <row r="715" spans="1:42">
      <c r="A715" s="1">
        <f>HYPERLINK("https://lsnyc.legalserver.org/matter/dynamic-profile/view/1908088","19-1908088")</f>
        <v>0</v>
      </c>
      <c r="B715" t="s">
        <v>156</v>
      </c>
      <c r="C715" t="s">
        <v>262</v>
      </c>
      <c r="D715" t="s">
        <v>304</v>
      </c>
      <c r="E715" t="s">
        <v>868</v>
      </c>
      <c r="F715" t="s">
        <v>1720</v>
      </c>
      <c r="G715" t="s">
        <v>2697</v>
      </c>
      <c r="H715" t="s">
        <v>3344</v>
      </c>
      <c r="I715" t="s">
        <v>3490</v>
      </c>
      <c r="J715">
        <v>11208</v>
      </c>
      <c r="K715" t="s">
        <v>3522</v>
      </c>
      <c r="L715" t="s">
        <v>3525</v>
      </c>
      <c r="N715" t="s">
        <v>4109</v>
      </c>
      <c r="O715" t="s">
        <v>4132</v>
      </c>
      <c r="P715" t="s">
        <v>4139</v>
      </c>
      <c r="Q715" t="s">
        <v>4147</v>
      </c>
      <c r="R715" t="s">
        <v>3523</v>
      </c>
      <c r="T715" t="s">
        <v>4156</v>
      </c>
      <c r="V715" t="s">
        <v>193</v>
      </c>
      <c r="W715">
        <v>0</v>
      </c>
      <c r="X715" t="s">
        <v>4193</v>
      </c>
      <c r="Y715" t="s">
        <v>4197</v>
      </c>
      <c r="Z715" t="s">
        <v>4838</v>
      </c>
      <c r="AB715" t="s">
        <v>6191</v>
      </c>
      <c r="AC715">
        <v>1444</v>
      </c>
      <c r="AF715">
        <v>0</v>
      </c>
      <c r="AG715">
        <v>2</v>
      </c>
      <c r="AH715">
        <v>2</v>
      </c>
      <c r="AI715">
        <v>100.97</v>
      </c>
      <c r="AL715" t="s">
        <v>6803</v>
      </c>
      <c r="AM715">
        <v>26000</v>
      </c>
    </row>
    <row r="716" spans="1:42">
      <c r="A716" s="1">
        <f>HYPERLINK("https://lsnyc.legalserver.org/matter/dynamic-profile/view/1904812","19-1904812")</f>
        <v>0</v>
      </c>
      <c r="B716" t="s">
        <v>78</v>
      </c>
      <c r="C716" t="s">
        <v>296</v>
      </c>
      <c r="D716" t="s">
        <v>262</v>
      </c>
      <c r="E716" t="s">
        <v>869</v>
      </c>
      <c r="F716" t="s">
        <v>1729</v>
      </c>
      <c r="G716" t="s">
        <v>2698</v>
      </c>
      <c r="H716">
        <v>602</v>
      </c>
      <c r="I716" t="s">
        <v>3493</v>
      </c>
      <c r="J716">
        <v>10452</v>
      </c>
      <c r="K716" t="s">
        <v>3522</v>
      </c>
      <c r="L716" t="s">
        <v>3525</v>
      </c>
      <c r="M716" t="s">
        <v>3562</v>
      </c>
      <c r="N716" t="s">
        <v>4113</v>
      </c>
      <c r="O716" t="s">
        <v>4132</v>
      </c>
      <c r="P716" t="s">
        <v>4139</v>
      </c>
      <c r="Q716" t="s">
        <v>4147</v>
      </c>
      <c r="R716" t="s">
        <v>3523</v>
      </c>
      <c r="T716" t="s">
        <v>4156</v>
      </c>
      <c r="V716" t="s">
        <v>222</v>
      </c>
      <c r="W716">
        <v>557</v>
      </c>
      <c r="X716" t="s">
        <v>4194</v>
      </c>
      <c r="Y716" t="s">
        <v>4206</v>
      </c>
      <c r="Z716" t="s">
        <v>4839</v>
      </c>
      <c r="AB716" t="s">
        <v>6192</v>
      </c>
      <c r="AC716">
        <v>82</v>
      </c>
      <c r="AD716" t="s">
        <v>5524</v>
      </c>
      <c r="AE716" t="s">
        <v>3526</v>
      </c>
      <c r="AF716">
        <v>5</v>
      </c>
      <c r="AG716">
        <v>2</v>
      </c>
      <c r="AH716">
        <v>2</v>
      </c>
      <c r="AI716">
        <v>100.97</v>
      </c>
      <c r="AM716">
        <v>26000</v>
      </c>
    </row>
    <row r="717" spans="1:42">
      <c r="A717" s="1">
        <f>HYPERLINK("https://lsnyc.legalserver.org/matter/dynamic-profile/view/1912671","19-1912671")</f>
        <v>0</v>
      </c>
      <c r="B717" t="s">
        <v>157</v>
      </c>
      <c r="C717" t="s">
        <v>194</v>
      </c>
      <c r="D717" t="s">
        <v>192</v>
      </c>
      <c r="E717" t="s">
        <v>870</v>
      </c>
      <c r="F717" t="s">
        <v>1730</v>
      </c>
      <c r="G717" t="s">
        <v>2699</v>
      </c>
      <c r="H717">
        <v>3</v>
      </c>
      <c r="I717" t="s">
        <v>3493</v>
      </c>
      <c r="J717">
        <v>10451</v>
      </c>
      <c r="K717" t="s">
        <v>3522</v>
      </c>
      <c r="L717" t="s">
        <v>3525</v>
      </c>
      <c r="M717" t="s">
        <v>3562</v>
      </c>
      <c r="N717" t="s">
        <v>3554</v>
      </c>
      <c r="O717" t="s">
        <v>4132</v>
      </c>
      <c r="P717" t="s">
        <v>4139</v>
      </c>
      <c r="Q717" t="s">
        <v>4147</v>
      </c>
      <c r="R717" t="s">
        <v>3523</v>
      </c>
      <c r="T717" t="s">
        <v>4156</v>
      </c>
      <c r="V717" t="s">
        <v>237</v>
      </c>
      <c r="W717">
        <v>1950</v>
      </c>
      <c r="X717" t="s">
        <v>4194</v>
      </c>
      <c r="Y717" t="s">
        <v>4206</v>
      </c>
      <c r="Z717" t="s">
        <v>4840</v>
      </c>
      <c r="AC717">
        <v>3</v>
      </c>
      <c r="AE717" t="s">
        <v>3526</v>
      </c>
      <c r="AF717">
        <v>1</v>
      </c>
      <c r="AG717">
        <v>2</v>
      </c>
      <c r="AH717">
        <v>2</v>
      </c>
      <c r="AI717">
        <v>100.97</v>
      </c>
      <c r="AL717" t="s">
        <v>6802</v>
      </c>
      <c r="AM717">
        <v>26000</v>
      </c>
    </row>
    <row r="718" spans="1:42">
      <c r="A718" s="1">
        <f>HYPERLINK("https://lsnyc.legalserver.org/matter/dynamic-profile/view/1914052","19-1914052")</f>
        <v>0</v>
      </c>
      <c r="B718" t="s">
        <v>86</v>
      </c>
      <c r="C718" t="s">
        <v>191</v>
      </c>
      <c r="E718" t="s">
        <v>871</v>
      </c>
      <c r="F718" t="s">
        <v>1731</v>
      </c>
      <c r="G718" t="s">
        <v>2700</v>
      </c>
      <c r="H718">
        <v>48</v>
      </c>
      <c r="I718" t="s">
        <v>3495</v>
      </c>
      <c r="J718">
        <v>10034</v>
      </c>
      <c r="K718" t="s">
        <v>3522</v>
      </c>
      <c r="L718" t="s">
        <v>3525</v>
      </c>
      <c r="O718" t="s">
        <v>4136</v>
      </c>
      <c r="Q718" t="s">
        <v>4147</v>
      </c>
      <c r="T718" t="s">
        <v>4156</v>
      </c>
      <c r="V718" t="s">
        <v>191</v>
      </c>
      <c r="W718">
        <v>1265.8</v>
      </c>
      <c r="X718" t="s">
        <v>4196</v>
      </c>
      <c r="Y718" t="s">
        <v>4201</v>
      </c>
      <c r="Z718" t="s">
        <v>4841</v>
      </c>
      <c r="AB718" t="s">
        <v>6193</v>
      </c>
      <c r="AC718">
        <v>41</v>
      </c>
      <c r="AD718" t="s">
        <v>6772</v>
      </c>
      <c r="AE718" t="s">
        <v>6791</v>
      </c>
      <c r="AF718">
        <v>27</v>
      </c>
      <c r="AG718">
        <v>1</v>
      </c>
      <c r="AH718">
        <v>0</v>
      </c>
      <c r="AI718">
        <v>101.07</v>
      </c>
      <c r="AL718" t="s">
        <v>6801</v>
      </c>
      <c r="AM718">
        <v>12624</v>
      </c>
    </row>
    <row r="719" spans="1:42">
      <c r="A719" s="1">
        <f>HYPERLINK("https://lsnyc.legalserver.org/matter/dynamic-profile/view/1908569","19-1908569")</f>
        <v>0</v>
      </c>
      <c r="B719" t="s">
        <v>89</v>
      </c>
      <c r="C719" t="s">
        <v>224</v>
      </c>
      <c r="D719" t="s">
        <v>251</v>
      </c>
      <c r="E719" t="s">
        <v>848</v>
      </c>
      <c r="F719" t="s">
        <v>1732</v>
      </c>
      <c r="G719" t="s">
        <v>2701</v>
      </c>
      <c r="H719" t="s">
        <v>3125</v>
      </c>
      <c r="I719" t="s">
        <v>3495</v>
      </c>
      <c r="J719">
        <v>10032</v>
      </c>
      <c r="K719" t="s">
        <v>3522</v>
      </c>
      <c r="L719" t="s">
        <v>3525</v>
      </c>
      <c r="N719" t="s">
        <v>3554</v>
      </c>
      <c r="O719" t="s">
        <v>4132</v>
      </c>
      <c r="P719" t="s">
        <v>4139</v>
      </c>
      <c r="Q719" t="s">
        <v>4147</v>
      </c>
      <c r="R719" t="s">
        <v>3523</v>
      </c>
      <c r="T719" t="s">
        <v>4156</v>
      </c>
      <c r="V719" t="s">
        <v>224</v>
      </c>
      <c r="W719">
        <v>606.5599999999999</v>
      </c>
      <c r="X719" t="s">
        <v>4196</v>
      </c>
      <c r="Y719" t="s">
        <v>4198</v>
      </c>
      <c r="Z719" t="s">
        <v>4842</v>
      </c>
      <c r="AB719" t="s">
        <v>6194</v>
      </c>
      <c r="AC719">
        <v>202</v>
      </c>
      <c r="AD719" t="s">
        <v>6772</v>
      </c>
      <c r="AE719" t="s">
        <v>6791</v>
      </c>
      <c r="AF719">
        <v>7</v>
      </c>
      <c r="AG719">
        <v>1</v>
      </c>
      <c r="AH719">
        <v>0</v>
      </c>
      <c r="AI719">
        <v>101.07</v>
      </c>
      <c r="AL719" t="s">
        <v>6801</v>
      </c>
      <c r="AM719">
        <v>12624</v>
      </c>
    </row>
    <row r="720" spans="1:42">
      <c r="A720" s="1">
        <f>HYPERLINK("https://lsnyc.legalserver.org/matter/dynamic-profile/view/1909953","19-1909953")</f>
        <v>0</v>
      </c>
      <c r="B720" t="s">
        <v>96</v>
      </c>
      <c r="C720" t="s">
        <v>304</v>
      </c>
      <c r="E720" t="s">
        <v>570</v>
      </c>
      <c r="F720" t="s">
        <v>1733</v>
      </c>
      <c r="G720" t="s">
        <v>2702</v>
      </c>
      <c r="H720" t="s">
        <v>3170</v>
      </c>
      <c r="I720" t="s">
        <v>3493</v>
      </c>
      <c r="J720">
        <v>10453</v>
      </c>
      <c r="K720" t="s">
        <v>3522</v>
      </c>
      <c r="L720" t="s">
        <v>3525</v>
      </c>
      <c r="O720" t="s">
        <v>4132</v>
      </c>
      <c r="Q720" t="s">
        <v>4147</v>
      </c>
      <c r="R720" t="s">
        <v>3523</v>
      </c>
      <c r="T720" t="s">
        <v>4156</v>
      </c>
      <c r="V720" t="s">
        <v>201</v>
      </c>
      <c r="W720">
        <v>0</v>
      </c>
      <c r="X720" t="s">
        <v>4194</v>
      </c>
      <c r="Y720" t="s">
        <v>4206</v>
      </c>
      <c r="Z720" t="s">
        <v>4843</v>
      </c>
      <c r="AB720" t="s">
        <v>6195</v>
      </c>
      <c r="AC720">
        <v>101</v>
      </c>
      <c r="AE720" t="s">
        <v>3526</v>
      </c>
      <c r="AF720">
        <v>11</v>
      </c>
      <c r="AG720">
        <v>1</v>
      </c>
      <c r="AH720">
        <v>0</v>
      </c>
      <c r="AI720">
        <v>101.59</v>
      </c>
      <c r="AL720" t="s">
        <v>6801</v>
      </c>
      <c r="AM720">
        <v>12688</v>
      </c>
    </row>
    <row r="721" spans="1:44">
      <c r="A721" s="1">
        <f>HYPERLINK("https://lsnyc.legalserver.org/matter/dynamic-profile/view/1916864","19-1916864")</f>
        <v>0</v>
      </c>
      <c r="B721" t="s">
        <v>93</v>
      </c>
      <c r="C721" t="s">
        <v>189</v>
      </c>
      <c r="D721" t="s">
        <v>189</v>
      </c>
      <c r="E721" t="s">
        <v>454</v>
      </c>
      <c r="F721" t="s">
        <v>1734</v>
      </c>
      <c r="G721" t="s">
        <v>2703</v>
      </c>
      <c r="H721">
        <v>56</v>
      </c>
      <c r="I721" t="s">
        <v>3495</v>
      </c>
      <c r="J721">
        <v>10033</v>
      </c>
      <c r="K721" t="s">
        <v>3522</v>
      </c>
      <c r="L721" t="s">
        <v>3525</v>
      </c>
      <c r="N721" t="s">
        <v>3554</v>
      </c>
      <c r="O721" t="s">
        <v>4132</v>
      </c>
      <c r="P721" t="s">
        <v>4139</v>
      </c>
      <c r="Q721" t="s">
        <v>4147</v>
      </c>
      <c r="R721" t="s">
        <v>3523</v>
      </c>
      <c r="T721" t="s">
        <v>4156</v>
      </c>
      <c r="V721" t="s">
        <v>189</v>
      </c>
      <c r="W721">
        <v>1700</v>
      </c>
      <c r="X721" t="s">
        <v>4196</v>
      </c>
      <c r="Y721" t="s">
        <v>4205</v>
      </c>
      <c r="Z721" t="s">
        <v>4844</v>
      </c>
      <c r="AB721" t="s">
        <v>6196</v>
      </c>
      <c r="AC721">
        <v>61</v>
      </c>
      <c r="AD721" t="s">
        <v>6772</v>
      </c>
      <c r="AE721" t="s">
        <v>3526</v>
      </c>
      <c r="AF721">
        <v>2</v>
      </c>
      <c r="AG721">
        <v>1</v>
      </c>
      <c r="AH721">
        <v>2</v>
      </c>
      <c r="AI721">
        <v>102.03</v>
      </c>
      <c r="AL721" t="s">
        <v>6802</v>
      </c>
      <c r="AM721">
        <v>21762</v>
      </c>
    </row>
    <row r="722" spans="1:44">
      <c r="A722" s="1">
        <f>HYPERLINK("https://lsnyc.legalserver.org/matter/dynamic-profile/view/1906128","19-1906128")</f>
        <v>0</v>
      </c>
      <c r="B722" t="s">
        <v>108</v>
      </c>
      <c r="C722" t="s">
        <v>207</v>
      </c>
      <c r="D722" t="s">
        <v>235</v>
      </c>
      <c r="E722" t="s">
        <v>515</v>
      </c>
      <c r="F722" t="s">
        <v>970</v>
      </c>
      <c r="G722" t="s">
        <v>2704</v>
      </c>
      <c r="H722" t="s">
        <v>3218</v>
      </c>
      <c r="I722" t="s">
        <v>3488</v>
      </c>
      <c r="J722">
        <v>11354</v>
      </c>
      <c r="K722" t="s">
        <v>3522</v>
      </c>
      <c r="L722" t="s">
        <v>3525</v>
      </c>
      <c r="M722" t="s">
        <v>3529</v>
      </c>
      <c r="N722" t="s">
        <v>4113</v>
      </c>
      <c r="O722" t="s">
        <v>4132</v>
      </c>
      <c r="P722" t="s">
        <v>4139</v>
      </c>
      <c r="Q722" t="s">
        <v>4147</v>
      </c>
      <c r="R722" t="s">
        <v>3523</v>
      </c>
      <c r="T722" t="s">
        <v>4156</v>
      </c>
      <c r="U722" t="s">
        <v>4168</v>
      </c>
      <c r="V722" t="s">
        <v>235</v>
      </c>
      <c r="W722">
        <v>1050</v>
      </c>
      <c r="X722" t="s">
        <v>4192</v>
      </c>
      <c r="Y722" t="s">
        <v>4205</v>
      </c>
      <c r="Z722" t="s">
        <v>4845</v>
      </c>
      <c r="AA722" t="s">
        <v>5482</v>
      </c>
      <c r="AB722" t="s">
        <v>6197</v>
      </c>
      <c r="AC722">
        <v>10</v>
      </c>
      <c r="AD722" t="s">
        <v>6772</v>
      </c>
      <c r="AE722" t="s">
        <v>3526</v>
      </c>
      <c r="AF722">
        <v>1</v>
      </c>
      <c r="AG722">
        <v>2</v>
      </c>
      <c r="AH722">
        <v>0</v>
      </c>
      <c r="AI722">
        <v>102.11</v>
      </c>
      <c r="AL722" t="s">
        <v>6801</v>
      </c>
      <c r="AM722">
        <v>17267.52</v>
      </c>
    </row>
    <row r="723" spans="1:44">
      <c r="A723" s="1">
        <f>HYPERLINK("https://lsnyc.legalserver.org/matter/dynamic-profile/view/1911337","19-1911337")</f>
        <v>0</v>
      </c>
      <c r="B723" t="s">
        <v>120</v>
      </c>
      <c r="C723" t="s">
        <v>313</v>
      </c>
      <c r="E723" t="s">
        <v>637</v>
      </c>
      <c r="F723" t="s">
        <v>1735</v>
      </c>
      <c r="G723" t="s">
        <v>2705</v>
      </c>
      <c r="H723" t="s">
        <v>3345</v>
      </c>
      <c r="I723" t="s">
        <v>3494</v>
      </c>
      <c r="J723">
        <v>10304</v>
      </c>
      <c r="K723" t="s">
        <v>3522</v>
      </c>
      <c r="L723" t="s">
        <v>3525</v>
      </c>
      <c r="M723" t="s">
        <v>3848</v>
      </c>
      <c r="N723" t="s">
        <v>4109</v>
      </c>
      <c r="O723" t="s">
        <v>4135</v>
      </c>
      <c r="Q723" t="s">
        <v>4147</v>
      </c>
      <c r="R723" t="s">
        <v>3523</v>
      </c>
      <c r="T723" t="s">
        <v>4156</v>
      </c>
      <c r="U723" t="s">
        <v>4168</v>
      </c>
      <c r="V723" t="s">
        <v>313</v>
      </c>
      <c r="W723">
        <v>0</v>
      </c>
      <c r="X723" t="s">
        <v>4195</v>
      </c>
      <c r="Y723" t="s">
        <v>4201</v>
      </c>
      <c r="Z723" t="s">
        <v>4846</v>
      </c>
      <c r="AB723" t="s">
        <v>6198</v>
      </c>
      <c r="AC723">
        <v>2</v>
      </c>
      <c r="AD723" t="s">
        <v>6771</v>
      </c>
      <c r="AE723" t="s">
        <v>3526</v>
      </c>
      <c r="AF723">
        <v>-1</v>
      </c>
      <c r="AG723">
        <v>2</v>
      </c>
      <c r="AH723">
        <v>1</v>
      </c>
      <c r="AI723">
        <v>102.39</v>
      </c>
      <c r="AL723" t="s">
        <v>6801</v>
      </c>
      <c r="AM723">
        <v>21840</v>
      </c>
    </row>
    <row r="724" spans="1:44">
      <c r="A724" s="1">
        <f>HYPERLINK("https://lsnyc.legalserver.org/matter/dynamic-profile/view/1901630","19-1901630")</f>
        <v>0</v>
      </c>
      <c r="B724" t="s">
        <v>47</v>
      </c>
      <c r="C724" t="s">
        <v>337</v>
      </c>
      <c r="D724" t="s">
        <v>381</v>
      </c>
      <c r="E724" t="s">
        <v>872</v>
      </c>
      <c r="F724" t="s">
        <v>1736</v>
      </c>
      <c r="G724" t="s">
        <v>2706</v>
      </c>
      <c r="H724" t="s">
        <v>3346</v>
      </c>
      <c r="I724" t="s">
        <v>3487</v>
      </c>
      <c r="J724">
        <v>11368</v>
      </c>
      <c r="K724" t="s">
        <v>3522</v>
      </c>
      <c r="L724" t="s">
        <v>3525</v>
      </c>
      <c r="M724" t="s">
        <v>3849</v>
      </c>
      <c r="N724" t="s">
        <v>4107</v>
      </c>
      <c r="O724" t="s">
        <v>4132</v>
      </c>
      <c r="P724" t="s">
        <v>4139</v>
      </c>
      <c r="Q724" t="s">
        <v>4147</v>
      </c>
      <c r="R724" t="s">
        <v>3523</v>
      </c>
      <c r="T724" t="s">
        <v>4156</v>
      </c>
      <c r="U724" t="s">
        <v>4168</v>
      </c>
      <c r="V724" t="s">
        <v>274</v>
      </c>
      <c r="W724">
        <v>1800</v>
      </c>
      <c r="X724" t="s">
        <v>4192</v>
      </c>
      <c r="Y724" t="s">
        <v>4197</v>
      </c>
      <c r="Z724" t="s">
        <v>4847</v>
      </c>
      <c r="AA724" t="s">
        <v>5600</v>
      </c>
      <c r="AB724" t="s">
        <v>6199</v>
      </c>
      <c r="AC724">
        <v>3</v>
      </c>
      <c r="AD724" t="s">
        <v>5524</v>
      </c>
      <c r="AE724" t="s">
        <v>3526</v>
      </c>
      <c r="AF724">
        <v>21</v>
      </c>
      <c r="AG724">
        <v>2</v>
      </c>
      <c r="AH724">
        <v>2</v>
      </c>
      <c r="AI724">
        <v>102.52</v>
      </c>
      <c r="AL724" t="s">
        <v>6802</v>
      </c>
      <c r="AM724">
        <v>26400</v>
      </c>
    </row>
    <row r="725" spans="1:44">
      <c r="A725" s="1">
        <f>HYPERLINK("https://lsnyc.legalserver.org/matter/dynamic-profile/view/1908353","19-1908353")</f>
        <v>0</v>
      </c>
      <c r="B725" t="s">
        <v>94</v>
      </c>
      <c r="C725" t="s">
        <v>303</v>
      </c>
      <c r="D725" t="s">
        <v>240</v>
      </c>
      <c r="E725" t="s">
        <v>873</v>
      </c>
      <c r="F725" t="s">
        <v>1737</v>
      </c>
      <c r="G725" t="s">
        <v>2707</v>
      </c>
      <c r="H725" t="s">
        <v>3347</v>
      </c>
      <c r="I725" t="s">
        <v>3495</v>
      </c>
      <c r="J725">
        <v>10029</v>
      </c>
      <c r="K725" t="s">
        <v>3522</v>
      </c>
      <c r="L725" t="s">
        <v>3525</v>
      </c>
      <c r="N725" t="s">
        <v>3554</v>
      </c>
      <c r="O725" t="s">
        <v>4135</v>
      </c>
      <c r="P725" t="s">
        <v>4142</v>
      </c>
      <c r="Q725" t="s">
        <v>4147</v>
      </c>
      <c r="R725" t="s">
        <v>3523</v>
      </c>
      <c r="T725" t="s">
        <v>4156</v>
      </c>
      <c r="U725" t="s">
        <v>4168</v>
      </c>
      <c r="V725" t="s">
        <v>241</v>
      </c>
      <c r="W725">
        <v>4169</v>
      </c>
      <c r="X725" t="s">
        <v>4196</v>
      </c>
      <c r="Y725" t="s">
        <v>4201</v>
      </c>
      <c r="Z725" t="s">
        <v>4848</v>
      </c>
      <c r="AA725">
        <v>43832149</v>
      </c>
      <c r="AB725" t="s">
        <v>6200</v>
      </c>
      <c r="AC725">
        <v>323</v>
      </c>
      <c r="AD725" t="s">
        <v>5524</v>
      </c>
      <c r="AE725" t="s">
        <v>6786</v>
      </c>
      <c r="AF725">
        <v>36</v>
      </c>
      <c r="AG725">
        <v>3</v>
      </c>
      <c r="AH725">
        <v>1</v>
      </c>
      <c r="AI725">
        <v>102.9</v>
      </c>
      <c r="AL725" t="s">
        <v>6801</v>
      </c>
      <c r="AM725">
        <v>26496</v>
      </c>
    </row>
    <row r="726" spans="1:44">
      <c r="A726" s="1">
        <f>HYPERLINK("https://lsnyc.legalserver.org/matter/dynamic-profile/view/1915024","19-1915024")</f>
        <v>0</v>
      </c>
      <c r="B726" t="s">
        <v>74</v>
      </c>
      <c r="C726" t="s">
        <v>219</v>
      </c>
      <c r="D726" t="s">
        <v>242</v>
      </c>
      <c r="E726" t="s">
        <v>520</v>
      </c>
      <c r="F726" t="s">
        <v>1395</v>
      </c>
      <c r="G726" t="s">
        <v>2708</v>
      </c>
      <c r="H726" t="s">
        <v>3170</v>
      </c>
      <c r="I726" t="s">
        <v>3493</v>
      </c>
      <c r="J726">
        <v>10454</v>
      </c>
      <c r="K726" t="s">
        <v>3522</v>
      </c>
      <c r="N726" t="s">
        <v>4112</v>
      </c>
      <c r="O726" t="s">
        <v>4135</v>
      </c>
      <c r="P726" t="s">
        <v>4142</v>
      </c>
      <c r="Q726" t="s">
        <v>4148</v>
      </c>
      <c r="T726" t="s">
        <v>4156</v>
      </c>
      <c r="U726" t="s">
        <v>4168</v>
      </c>
      <c r="V726" t="s">
        <v>219</v>
      </c>
      <c r="W726">
        <v>1500</v>
      </c>
      <c r="X726" t="s">
        <v>4194</v>
      </c>
      <c r="Y726" t="s">
        <v>4199</v>
      </c>
      <c r="Z726" t="s">
        <v>4849</v>
      </c>
      <c r="AB726" t="s">
        <v>6201</v>
      </c>
      <c r="AC726">
        <v>24</v>
      </c>
      <c r="AD726" t="s">
        <v>6777</v>
      </c>
      <c r="AE726" t="s">
        <v>6786</v>
      </c>
      <c r="AF726">
        <v>-1</v>
      </c>
      <c r="AG726">
        <v>3</v>
      </c>
      <c r="AH726">
        <v>0</v>
      </c>
      <c r="AI726">
        <v>103.14</v>
      </c>
      <c r="AJ726" t="s">
        <v>6795</v>
      </c>
      <c r="AK726" t="s">
        <v>6798</v>
      </c>
      <c r="AL726" t="s">
        <v>6801</v>
      </c>
      <c r="AM726">
        <v>22000</v>
      </c>
    </row>
    <row r="727" spans="1:44">
      <c r="A727" s="1">
        <f>HYPERLINK("https://lsnyc.legalserver.org/matter/dynamic-profile/view/1916874","19-1916874")</f>
        <v>0</v>
      </c>
      <c r="B727" t="s">
        <v>91</v>
      </c>
      <c r="C727" t="s">
        <v>189</v>
      </c>
      <c r="E727" t="s">
        <v>645</v>
      </c>
      <c r="F727" t="s">
        <v>1651</v>
      </c>
      <c r="G727" t="s">
        <v>2250</v>
      </c>
      <c r="H727" t="s">
        <v>3131</v>
      </c>
      <c r="I727" t="s">
        <v>3495</v>
      </c>
      <c r="J727">
        <v>10035</v>
      </c>
      <c r="K727" t="s">
        <v>3522</v>
      </c>
      <c r="L727" t="s">
        <v>3525</v>
      </c>
      <c r="N727" t="s">
        <v>3554</v>
      </c>
      <c r="O727" t="s">
        <v>4135</v>
      </c>
      <c r="Q727" t="s">
        <v>4147</v>
      </c>
      <c r="R727" t="s">
        <v>3522</v>
      </c>
      <c r="T727" t="s">
        <v>4156</v>
      </c>
      <c r="U727" t="s">
        <v>4168</v>
      </c>
      <c r="V727" t="s">
        <v>189</v>
      </c>
      <c r="W727">
        <v>831</v>
      </c>
      <c r="X727" t="s">
        <v>4196</v>
      </c>
      <c r="Y727" t="s">
        <v>4201</v>
      </c>
      <c r="Z727" t="s">
        <v>4850</v>
      </c>
      <c r="AB727" t="s">
        <v>6202</v>
      </c>
      <c r="AC727">
        <v>35</v>
      </c>
      <c r="AD727" t="s">
        <v>6772</v>
      </c>
      <c r="AE727" t="s">
        <v>6791</v>
      </c>
      <c r="AF727">
        <v>32</v>
      </c>
      <c r="AG727">
        <v>1</v>
      </c>
      <c r="AH727">
        <v>0</v>
      </c>
      <c r="AI727">
        <v>103.28</v>
      </c>
      <c r="AL727" t="s">
        <v>6801</v>
      </c>
      <c r="AM727">
        <v>12900</v>
      </c>
    </row>
    <row r="728" spans="1:44">
      <c r="A728" s="1">
        <f>HYPERLINK("https://lsnyc.legalserver.org/matter/dynamic-profile/view/1912456","19-1912456")</f>
        <v>0</v>
      </c>
      <c r="B728" t="s">
        <v>123</v>
      </c>
      <c r="C728" t="s">
        <v>295</v>
      </c>
      <c r="D728" t="s">
        <v>258</v>
      </c>
      <c r="E728" t="s">
        <v>874</v>
      </c>
      <c r="F728" t="s">
        <v>1738</v>
      </c>
      <c r="G728" t="s">
        <v>2454</v>
      </c>
      <c r="H728" t="s">
        <v>3242</v>
      </c>
      <c r="I728" t="s">
        <v>3495</v>
      </c>
      <c r="J728">
        <v>10040</v>
      </c>
      <c r="K728" t="s">
        <v>3522</v>
      </c>
      <c r="L728" t="s">
        <v>3525</v>
      </c>
      <c r="M728" t="s">
        <v>3675</v>
      </c>
      <c r="N728" t="s">
        <v>4110</v>
      </c>
      <c r="O728" t="s">
        <v>4137</v>
      </c>
      <c r="P728" t="s">
        <v>4145</v>
      </c>
      <c r="Q728" t="s">
        <v>4147</v>
      </c>
      <c r="R728" t="s">
        <v>3522</v>
      </c>
      <c r="T728" t="s">
        <v>4156</v>
      </c>
      <c r="V728" t="s">
        <v>295</v>
      </c>
      <c r="W728">
        <v>1231.45</v>
      </c>
      <c r="X728" t="s">
        <v>4196</v>
      </c>
      <c r="Y728" t="s">
        <v>4201</v>
      </c>
      <c r="Z728" t="s">
        <v>4851</v>
      </c>
      <c r="AB728" t="s">
        <v>6203</v>
      </c>
      <c r="AC728">
        <v>44</v>
      </c>
      <c r="AD728" t="s">
        <v>6772</v>
      </c>
      <c r="AE728" t="s">
        <v>3526</v>
      </c>
      <c r="AF728">
        <v>13</v>
      </c>
      <c r="AG728">
        <v>2</v>
      </c>
      <c r="AH728">
        <v>0</v>
      </c>
      <c r="AI728">
        <v>103.63</v>
      </c>
      <c r="AL728" t="s">
        <v>6802</v>
      </c>
      <c r="AM728">
        <v>17524</v>
      </c>
      <c r="AQ728" t="s">
        <v>6945</v>
      </c>
    </row>
    <row r="729" spans="1:44">
      <c r="A729" s="1">
        <f>HYPERLINK("https://lsnyc.legalserver.org/matter/dynamic-profile/view/1908313","19-1908313")</f>
        <v>0</v>
      </c>
      <c r="B729" t="s">
        <v>61</v>
      </c>
      <c r="C729" t="s">
        <v>211</v>
      </c>
      <c r="D729" t="s">
        <v>301</v>
      </c>
      <c r="E729" t="s">
        <v>429</v>
      </c>
      <c r="F729" t="s">
        <v>1739</v>
      </c>
      <c r="G729" t="s">
        <v>2195</v>
      </c>
      <c r="H729" t="s">
        <v>3348</v>
      </c>
      <c r="I729" t="s">
        <v>3490</v>
      </c>
      <c r="J729">
        <v>11233</v>
      </c>
      <c r="K729" t="s">
        <v>3522</v>
      </c>
      <c r="L729" t="s">
        <v>3525</v>
      </c>
      <c r="M729" t="s">
        <v>3850</v>
      </c>
      <c r="N729" t="s">
        <v>4109</v>
      </c>
      <c r="O729" t="s">
        <v>4134</v>
      </c>
      <c r="P729" t="s">
        <v>4140</v>
      </c>
      <c r="Q729" t="s">
        <v>4147</v>
      </c>
      <c r="R729" t="s">
        <v>3523</v>
      </c>
      <c r="T729" t="s">
        <v>4156</v>
      </c>
      <c r="U729" t="s">
        <v>4168</v>
      </c>
      <c r="V729" t="s">
        <v>211</v>
      </c>
      <c r="W729">
        <v>955.08</v>
      </c>
      <c r="X729" t="s">
        <v>4193</v>
      </c>
      <c r="Y729" t="s">
        <v>4201</v>
      </c>
      <c r="Z729" t="s">
        <v>4852</v>
      </c>
      <c r="AA729">
        <v>6004868123</v>
      </c>
      <c r="AB729" t="s">
        <v>6204</v>
      </c>
      <c r="AC729">
        <v>359</v>
      </c>
      <c r="AD729" t="s">
        <v>6772</v>
      </c>
      <c r="AE729" t="s">
        <v>3526</v>
      </c>
      <c r="AF729">
        <v>16</v>
      </c>
      <c r="AG729">
        <v>1</v>
      </c>
      <c r="AH729">
        <v>0</v>
      </c>
      <c r="AI729">
        <v>104.08</v>
      </c>
      <c r="AL729" t="s">
        <v>6801</v>
      </c>
      <c r="AM729">
        <v>13000</v>
      </c>
      <c r="AP729" t="s">
        <v>6924</v>
      </c>
      <c r="AQ729" t="s">
        <v>6945</v>
      </c>
      <c r="AR729" t="s">
        <v>6993</v>
      </c>
    </row>
    <row r="730" spans="1:44">
      <c r="A730" s="1">
        <f>HYPERLINK("https://lsnyc.legalserver.org/matter/dynamic-profile/view/1909752","19-1909752")</f>
        <v>0</v>
      </c>
      <c r="B730" t="s">
        <v>89</v>
      </c>
      <c r="C730" t="s">
        <v>227</v>
      </c>
      <c r="D730" t="s">
        <v>251</v>
      </c>
      <c r="E730" t="s">
        <v>875</v>
      </c>
      <c r="F730" t="s">
        <v>1740</v>
      </c>
      <c r="G730" t="s">
        <v>2709</v>
      </c>
      <c r="H730">
        <v>33</v>
      </c>
      <c r="I730" t="s">
        <v>3495</v>
      </c>
      <c r="J730">
        <v>10034</v>
      </c>
      <c r="K730" t="s">
        <v>3522</v>
      </c>
      <c r="L730" t="s">
        <v>3525</v>
      </c>
      <c r="O730" t="s">
        <v>4132</v>
      </c>
      <c r="P730" t="s">
        <v>4139</v>
      </c>
      <c r="Q730" t="s">
        <v>4147</v>
      </c>
      <c r="R730" t="s">
        <v>3523</v>
      </c>
      <c r="T730" t="s">
        <v>4156</v>
      </c>
      <c r="V730" t="s">
        <v>201</v>
      </c>
      <c r="W730">
        <v>1600</v>
      </c>
      <c r="X730" t="s">
        <v>4196</v>
      </c>
      <c r="Y730" t="s">
        <v>4202</v>
      </c>
      <c r="Z730" t="s">
        <v>4853</v>
      </c>
      <c r="AB730" t="s">
        <v>6205</v>
      </c>
      <c r="AC730">
        <v>60</v>
      </c>
      <c r="AD730" t="s">
        <v>6772</v>
      </c>
      <c r="AE730" t="s">
        <v>3526</v>
      </c>
      <c r="AF730">
        <v>7</v>
      </c>
      <c r="AG730">
        <v>1</v>
      </c>
      <c r="AH730">
        <v>0</v>
      </c>
      <c r="AI730">
        <v>104.08</v>
      </c>
      <c r="AL730" t="s">
        <v>6801</v>
      </c>
      <c r="AM730">
        <v>13000</v>
      </c>
    </row>
    <row r="731" spans="1:44">
      <c r="A731" s="1">
        <f>HYPERLINK("https://lsnyc.legalserver.org/matter/dynamic-profile/view/1893374","19-1893374")</f>
        <v>0</v>
      </c>
      <c r="B731" t="s">
        <v>59</v>
      </c>
      <c r="C731" t="s">
        <v>338</v>
      </c>
      <c r="D731" t="s">
        <v>384</v>
      </c>
      <c r="E731" t="s">
        <v>876</v>
      </c>
      <c r="F731" t="s">
        <v>1513</v>
      </c>
      <c r="G731" t="s">
        <v>2710</v>
      </c>
      <c r="H731" t="s">
        <v>3157</v>
      </c>
      <c r="I731" t="s">
        <v>3490</v>
      </c>
      <c r="J731">
        <v>11212</v>
      </c>
      <c r="K731" t="s">
        <v>3522</v>
      </c>
      <c r="L731" t="s">
        <v>3525</v>
      </c>
      <c r="M731" t="s">
        <v>3529</v>
      </c>
      <c r="N731" t="s">
        <v>4108</v>
      </c>
      <c r="O731" t="s">
        <v>4132</v>
      </c>
      <c r="P731" t="s">
        <v>4139</v>
      </c>
      <c r="Q731" t="s">
        <v>4147</v>
      </c>
      <c r="R731" t="s">
        <v>3522</v>
      </c>
      <c r="T731" t="s">
        <v>4156</v>
      </c>
      <c r="U731" t="s">
        <v>4168</v>
      </c>
      <c r="V731" t="s">
        <v>4184</v>
      </c>
      <c r="W731">
        <v>1643.13</v>
      </c>
      <c r="X731" t="s">
        <v>4193</v>
      </c>
      <c r="Y731" t="s">
        <v>4206</v>
      </c>
      <c r="Z731" t="s">
        <v>4854</v>
      </c>
      <c r="AA731" t="s">
        <v>3526</v>
      </c>
      <c r="AB731" t="s">
        <v>6206</v>
      </c>
      <c r="AC731">
        <v>38</v>
      </c>
      <c r="AD731" t="s">
        <v>6772</v>
      </c>
      <c r="AE731" t="s">
        <v>3526</v>
      </c>
      <c r="AF731">
        <v>9</v>
      </c>
      <c r="AG731">
        <v>4</v>
      </c>
      <c r="AH731">
        <v>0</v>
      </c>
      <c r="AI731">
        <v>104.85</v>
      </c>
      <c r="AL731" t="s">
        <v>6801</v>
      </c>
      <c r="AM731">
        <v>27000</v>
      </c>
    </row>
    <row r="732" spans="1:44">
      <c r="A732" s="1">
        <f>HYPERLINK("https://lsnyc.legalserver.org/matter/dynamic-profile/view/1904523","19-1904523")</f>
        <v>0</v>
      </c>
      <c r="B732" t="s">
        <v>86</v>
      </c>
      <c r="C732" t="s">
        <v>261</v>
      </c>
      <c r="E732" t="s">
        <v>877</v>
      </c>
      <c r="F732" t="s">
        <v>1550</v>
      </c>
      <c r="G732" t="s">
        <v>2711</v>
      </c>
      <c r="H732">
        <v>31</v>
      </c>
      <c r="I732" t="s">
        <v>3495</v>
      </c>
      <c r="J732">
        <v>10034</v>
      </c>
      <c r="K732" t="s">
        <v>3522</v>
      </c>
      <c r="L732" t="s">
        <v>3525</v>
      </c>
      <c r="N732" t="s">
        <v>4120</v>
      </c>
      <c r="O732" t="s">
        <v>4133</v>
      </c>
      <c r="Q732" t="s">
        <v>4147</v>
      </c>
      <c r="R732" t="s">
        <v>3523</v>
      </c>
      <c r="T732" t="s">
        <v>4156</v>
      </c>
      <c r="V732" t="s">
        <v>261</v>
      </c>
      <c r="W732">
        <v>1013.58</v>
      </c>
      <c r="X732" t="s">
        <v>4196</v>
      </c>
      <c r="Y732" t="s">
        <v>4201</v>
      </c>
      <c r="Z732" t="s">
        <v>4855</v>
      </c>
      <c r="AB732" t="s">
        <v>6207</v>
      </c>
      <c r="AC732">
        <v>25</v>
      </c>
      <c r="AD732" t="s">
        <v>6772</v>
      </c>
      <c r="AE732" t="s">
        <v>6786</v>
      </c>
      <c r="AF732">
        <v>50</v>
      </c>
      <c r="AG732">
        <v>2</v>
      </c>
      <c r="AH732">
        <v>0</v>
      </c>
      <c r="AI732">
        <v>105.38</v>
      </c>
      <c r="AK732" t="s">
        <v>6800</v>
      </c>
      <c r="AL732" t="s">
        <v>6802</v>
      </c>
      <c r="AM732">
        <v>17820</v>
      </c>
    </row>
    <row r="733" spans="1:44">
      <c r="A733" s="1">
        <f>HYPERLINK("https://lsnyc.legalserver.org/matter/dynamic-profile/view/1903639","19-1903639")</f>
        <v>0</v>
      </c>
      <c r="B733" t="s">
        <v>57</v>
      </c>
      <c r="C733" t="s">
        <v>286</v>
      </c>
      <c r="D733" t="s">
        <v>209</v>
      </c>
      <c r="E733" t="s">
        <v>878</v>
      </c>
      <c r="F733" t="s">
        <v>1741</v>
      </c>
      <c r="G733" t="s">
        <v>2712</v>
      </c>
      <c r="H733" t="s">
        <v>3157</v>
      </c>
      <c r="I733" t="s">
        <v>3490</v>
      </c>
      <c r="J733">
        <v>11212</v>
      </c>
      <c r="K733" t="s">
        <v>3522</v>
      </c>
      <c r="L733" t="s">
        <v>3525</v>
      </c>
      <c r="M733" t="s">
        <v>3554</v>
      </c>
      <c r="N733" t="s">
        <v>3554</v>
      </c>
      <c r="O733" t="s">
        <v>4132</v>
      </c>
      <c r="P733" t="s">
        <v>4139</v>
      </c>
      <c r="Q733" t="s">
        <v>4147</v>
      </c>
      <c r="R733" t="s">
        <v>3523</v>
      </c>
      <c r="T733" t="s">
        <v>4156</v>
      </c>
      <c r="U733" t="s">
        <v>4168</v>
      </c>
      <c r="V733" t="s">
        <v>259</v>
      </c>
      <c r="W733">
        <v>1008</v>
      </c>
      <c r="X733" t="s">
        <v>4193</v>
      </c>
      <c r="Y733" t="s">
        <v>4211</v>
      </c>
      <c r="Z733" t="s">
        <v>4856</v>
      </c>
      <c r="AA733" t="s">
        <v>4038</v>
      </c>
      <c r="AB733" t="s">
        <v>6208</v>
      </c>
      <c r="AC733">
        <v>24</v>
      </c>
      <c r="AD733" t="s">
        <v>6772</v>
      </c>
      <c r="AE733" t="s">
        <v>6786</v>
      </c>
      <c r="AF733">
        <v>5</v>
      </c>
      <c r="AG733">
        <v>2</v>
      </c>
      <c r="AH733">
        <v>0</v>
      </c>
      <c r="AI733">
        <v>105.59</v>
      </c>
      <c r="AL733" t="s">
        <v>6801</v>
      </c>
      <c r="AM733">
        <v>17856</v>
      </c>
    </row>
    <row r="734" spans="1:44">
      <c r="A734" s="1">
        <f>HYPERLINK("https://lsnyc.legalserver.org/matter/dynamic-profile/view/1909950","19-1909950")</f>
        <v>0</v>
      </c>
      <c r="B734" t="s">
        <v>96</v>
      </c>
      <c r="C734" t="s">
        <v>304</v>
      </c>
      <c r="D734" t="s">
        <v>214</v>
      </c>
      <c r="E734" t="s">
        <v>879</v>
      </c>
      <c r="F734" t="s">
        <v>637</v>
      </c>
      <c r="G734" t="s">
        <v>2713</v>
      </c>
      <c r="H734" t="s">
        <v>3175</v>
      </c>
      <c r="I734" t="s">
        <v>3493</v>
      </c>
      <c r="J734">
        <v>10451</v>
      </c>
      <c r="K734" t="s">
        <v>3522</v>
      </c>
      <c r="L734" t="s">
        <v>3525</v>
      </c>
      <c r="M734" t="s">
        <v>3683</v>
      </c>
      <c r="N734" t="s">
        <v>4110</v>
      </c>
      <c r="O734" t="s">
        <v>4132</v>
      </c>
      <c r="P734" t="s">
        <v>4139</v>
      </c>
      <c r="Q734" t="s">
        <v>4147</v>
      </c>
      <c r="R734" t="s">
        <v>3523</v>
      </c>
      <c r="T734" t="s">
        <v>4156</v>
      </c>
      <c r="V734" t="s">
        <v>341</v>
      </c>
      <c r="W734">
        <v>1284.38</v>
      </c>
      <c r="X734" t="s">
        <v>4194</v>
      </c>
      <c r="Y734" t="s">
        <v>4206</v>
      </c>
      <c r="Z734" t="s">
        <v>4857</v>
      </c>
      <c r="AC734">
        <v>81</v>
      </c>
      <c r="AD734" t="s">
        <v>6772</v>
      </c>
      <c r="AE734" t="s">
        <v>6791</v>
      </c>
      <c r="AF734">
        <v>10</v>
      </c>
      <c r="AG734">
        <v>1</v>
      </c>
      <c r="AH734">
        <v>0</v>
      </c>
      <c r="AI734">
        <v>105.68</v>
      </c>
      <c r="AL734" t="s">
        <v>6801</v>
      </c>
      <c r="AM734">
        <v>13200</v>
      </c>
    </row>
    <row r="735" spans="1:44">
      <c r="A735" s="1">
        <f>HYPERLINK("https://lsnyc.legalserver.org/matter/dynamic-profile/view/1908439","19-1908439")</f>
        <v>0</v>
      </c>
      <c r="B735" t="s">
        <v>105</v>
      </c>
      <c r="C735" t="s">
        <v>304</v>
      </c>
      <c r="E735" t="s">
        <v>404</v>
      </c>
      <c r="F735" t="s">
        <v>1742</v>
      </c>
      <c r="G735" t="s">
        <v>2714</v>
      </c>
      <c r="H735" t="s">
        <v>3349</v>
      </c>
      <c r="I735" t="s">
        <v>3494</v>
      </c>
      <c r="J735">
        <v>10305</v>
      </c>
      <c r="K735" t="s">
        <v>3522</v>
      </c>
      <c r="L735" t="s">
        <v>3525</v>
      </c>
      <c r="M735" t="s">
        <v>3553</v>
      </c>
      <c r="N735" t="s">
        <v>4109</v>
      </c>
      <c r="O735" t="s">
        <v>4133</v>
      </c>
      <c r="Q735" t="s">
        <v>4147</v>
      </c>
      <c r="R735" t="s">
        <v>3523</v>
      </c>
      <c r="T735" t="s">
        <v>4156</v>
      </c>
      <c r="U735" t="s">
        <v>4168</v>
      </c>
      <c r="V735" t="s">
        <v>304</v>
      </c>
      <c r="W735">
        <v>1800</v>
      </c>
      <c r="X735" t="s">
        <v>4195</v>
      </c>
      <c r="Y735" t="s">
        <v>4212</v>
      </c>
      <c r="Z735" t="s">
        <v>4858</v>
      </c>
      <c r="AB735" t="s">
        <v>6209</v>
      </c>
      <c r="AC735">
        <v>3</v>
      </c>
      <c r="AD735" t="s">
        <v>6771</v>
      </c>
      <c r="AE735" t="s">
        <v>3526</v>
      </c>
      <c r="AF735">
        <v>7</v>
      </c>
      <c r="AG735">
        <v>1</v>
      </c>
      <c r="AH735">
        <v>0</v>
      </c>
      <c r="AI735">
        <v>105.68</v>
      </c>
      <c r="AL735" t="s">
        <v>6801</v>
      </c>
      <c r="AM735">
        <v>13200</v>
      </c>
    </row>
    <row r="736" spans="1:44">
      <c r="A736" s="1">
        <f>HYPERLINK("https://lsnyc.legalserver.org/matter/dynamic-profile/view/1905128","19-1905128")</f>
        <v>0</v>
      </c>
      <c r="B736" t="s">
        <v>107</v>
      </c>
      <c r="C736" t="s">
        <v>216</v>
      </c>
      <c r="D736" t="s">
        <v>188</v>
      </c>
      <c r="E736" t="s">
        <v>880</v>
      </c>
      <c r="F736" t="s">
        <v>1743</v>
      </c>
      <c r="G736" t="s">
        <v>2715</v>
      </c>
      <c r="I736" t="s">
        <v>3494</v>
      </c>
      <c r="J736">
        <v>10304</v>
      </c>
      <c r="K736" t="s">
        <v>3522</v>
      </c>
      <c r="L736" t="s">
        <v>3525</v>
      </c>
      <c r="N736" t="s">
        <v>3554</v>
      </c>
      <c r="O736" t="s">
        <v>4132</v>
      </c>
      <c r="P736" t="s">
        <v>4139</v>
      </c>
      <c r="Q736" t="s">
        <v>4148</v>
      </c>
      <c r="R736" t="s">
        <v>3523</v>
      </c>
      <c r="T736" t="s">
        <v>4156</v>
      </c>
      <c r="U736" t="s">
        <v>4168</v>
      </c>
      <c r="V736" t="s">
        <v>216</v>
      </c>
      <c r="W736">
        <v>1831</v>
      </c>
      <c r="X736" t="s">
        <v>4195</v>
      </c>
      <c r="Y736" t="s">
        <v>4199</v>
      </c>
      <c r="Z736" t="s">
        <v>4859</v>
      </c>
      <c r="AB736" t="s">
        <v>6210</v>
      </c>
      <c r="AC736">
        <v>2</v>
      </c>
      <c r="AD736" t="s">
        <v>6771</v>
      </c>
      <c r="AE736" t="s">
        <v>3526</v>
      </c>
      <c r="AF736">
        <v>1</v>
      </c>
      <c r="AG736">
        <v>1</v>
      </c>
      <c r="AH736">
        <v>0</v>
      </c>
      <c r="AI736">
        <v>105.68</v>
      </c>
      <c r="AJ736" t="s">
        <v>6795</v>
      </c>
      <c r="AK736" t="s">
        <v>6798</v>
      </c>
      <c r="AL736" t="s">
        <v>6801</v>
      </c>
      <c r="AM736">
        <v>13200</v>
      </c>
    </row>
    <row r="737" spans="1:44">
      <c r="A737" s="1">
        <f>HYPERLINK("https://lsnyc.legalserver.org/matter/dynamic-profile/view/1906385","19-1906385")</f>
        <v>0</v>
      </c>
      <c r="B737" t="s">
        <v>47</v>
      </c>
      <c r="C737" t="s">
        <v>241</v>
      </c>
      <c r="E737" t="s">
        <v>881</v>
      </c>
      <c r="F737" t="s">
        <v>1744</v>
      </c>
      <c r="G737" t="s">
        <v>2716</v>
      </c>
      <c r="H737" t="s">
        <v>3211</v>
      </c>
      <c r="I737" t="s">
        <v>3486</v>
      </c>
      <c r="J737">
        <v>11377</v>
      </c>
      <c r="K737" t="s">
        <v>3522</v>
      </c>
      <c r="L737" t="s">
        <v>3525</v>
      </c>
      <c r="M737" t="s">
        <v>3851</v>
      </c>
      <c r="N737" t="s">
        <v>4107</v>
      </c>
      <c r="O737" t="s">
        <v>4134</v>
      </c>
      <c r="Q737" t="s">
        <v>4147</v>
      </c>
      <c r="R737" t="s">
        <v>3523</v>
      </c>
      <c r="T737" t="s">
        <v>4156</v>
      </c>
      <c r="U737" t="s">
        <v>4168</v>
      </c>
      <c r="V737" t="s">
        <v>241</v>
      </c>
      <c r="W737">
        <v>1024</v>
      </c>
      <c r="X737" t="s">
        <v>4192</v>
      </c>
      <c r="Y737" t="s">
        <v>4197</v>
      </c>
      <c r="Z737" t="s">
        <v>4860</v>
      </c>
      <c r="AA737" t="s">
        <v>5482</v>
      </c>
      <c r="AB737" t="s">
        <v>6211</v>
      </c>
      <c r="AC737">
        <v>60</v>
      </c>
      <c r="AD737" t="s">
        <v>6772</v>
      </c>
      <c r="AE737" t="s">
        <v>3526</v>
      </c>
      <c r="AF737">
        <v>26</v>
      </c>
      <c r="AG737">
        <v>5</v>
      </c>
      <c r="AH737">
        <v>1</v>
      </c>
      <c r="AI737">
        <v>105.81</v>
      </c>
      <c r="AL737" t="s">
        <v>6802</v>
      </c>
      <c r="AM737">
        <v>36600</v>
      </c>
      <c r="AP737" t="s">
        <v>4200</v>
      </c>
    </row>
    <row r="738" spans="1:44">
      <c r="A738" s="1">
        <f>HYPERLINK("https://lsnyc.legalserver.org/matter/dynamic-profile/view/1909640","19-1909640")</f>
        <v>0</v>
      </c>
      <c r="B738" t="s">
        <v>53</v>
      </c>
      <c r="C738" t="s">
        <v>231</v>
      </c>
      <c r="E738" t="s">
        <v>645</v>
      </c>
      <c r="F738" t="s">
        <v>940</v>
      </c>
      <c r="G738" t="s">
        <v>2717</v>
      </c>
      <c r="H738" t="s">
        <v>3137</v>
      </c>
      <c r="I738" t="s">
        <v>3490</v>
      </c>
      <c r="J738">
        <v>11210</v>
      </c>
      <c r="K738" t="s">
        <v>3522</v>
      </c>
      <c r="L738" t="s">
        <v>3525</v>
      </c>
      <c r="M738" t="s">
        <v>3852</v>
      </c>
      <c r="N738" t="s">
        <v>4107</v>
      </c>
      <c r="O738" t="s">
        <v>4135</v>
      </c>
      <c r="Q738" t="s">
        <v>4147</v>
      </c>
      <c r="R738" t="s">
        <v>3523</v>
      </c>
      <c r="T738" t="s">
        <v>4156</v>
      </c>
      <c r="U738" t="s">
        <v>4168</v>
      </c>
      <c r="V738" t="s">
        <v>231</v>
      </c>
      <c r="W738">
        <v>1004.5</v>
      </c>
      <c r="X738" t="s">
        <v>4193</v>
      </c>
      <c r="Y738" t="s">
        <v>4202</v>
      </c>
      <c r="Z738" t="s">
        <v>4861</v>
      </c>
      <c r="AC738">
        <v>4</v>
      </c>
      <c r="AD738" t="s">
        <v>6771</v>
      </c>
      <c r="AE738" t="s">
        <v>3526</v>
      </c>
      <c r="AF738">
        <v>5</v>
      </c>
      <c r="AG738">
        <v>2</v>
      </c>
      <c r="AH738">
        <v>3</v>
      </c>
      <c r="AI738">
        <v>106.07</v>
      </c>
      <c r="AL738" t="s">
        <v>6811</v>
      </c>
      <c r="AM738">
        <v>32000</v>
      </c>
      <c r="AO738" t="s">
        <v>6915</v>
      </c>
    </row>
    <row r="739" spans="1:44">
      <c r="A739" s="1">
        <f>HYPERLINK("https://lsnyc.legalserver.org/matter/dynamic-profile/view/1913348","19-1913348")</f>
        <v>0</v>
      </c>
      <c r="B739" t="s">
        <v>46</v>
      </c>
      <c r="C739" t="s">
        <v>192</v>
      </c>
      <c r="E739" t="s">
        <v>882</v>
      </c>
      <c r="F739" t="s">
        <v>1745</v>
      </c>
      <c r="G739" t="s">
        <v>2718</v>
      </c>
      <c r="H739" t="s">
        <v>3219</v>
      </c>
      <c r="I739" t="s">
        <v>3487</v>
      </c>
      <c r="J739">
        <v>11368</v>
      </c>
      <c r="K739" t="s">
        <v>3522</v>
      </c>
      <c r="L739" t="s">
        <v>3525</v>
      </c>
      <c r="M739" t="s">
        <v>3853</v>
      </c>
      <c r="N739" t="s">
        <v>4107</v>
      </c>
      <c r="O739" t="s">
        <v>4135</v>
      </c>
      <c r="Q739" t="s">
        <v>4147</v>
      </c>
      <c r="R739" t="s">
        <v>3523</v>
      </c>
      <c r="T739" t="s">
        <v>4156</v>
      </c>
      <c r="U739" t="s">
        <v>4168</v>
      </c>
      <c r="V739" t="s">
        <v>269</v>
      </c>
      <c r="W739">
        <v>1155</v>
      </c>
      <c r="X739" t="s">
        <v>4192</v>
      </c>
      <c r="Y739" t="s">
        <v>4197</v>
      </c>
      <c r="Z739" t="s">
        <v>4862</v>
      </c>
      <c r="AB739" t="s">
        <v>6212</v>
      </c>
      <c r="AC739">
        <v>8</v>
      </c>
      <c r="AD739" t="s">
        <v>6772</v>
      </c>
      <c r="AE739" t="s">
        <v>3526</v>
      </c>
      <c r="AF739">
        <v>5</v>
      </c>
      <c r="AG739">
        <v>2</v>
      </c>
      <c r="AH739">
        <v>0</v>
      </c>
      <c r="AI739">
        <v>106.45</v>
      </c>
      <c r="AL739" t="s">
        <v>6801</v>
      </c>
      <c r="AM739">
        <v>18000</v>
      </c>
    </row>
    <row r="740" spans="1:44">
      <c r="A740" s="1">
        <f>HYPERLINK("https://lsnyc.legalserver.org/matter/dynamic-profile/view/1912236","19-1912236")</f>
        <v>0</v>
      </c>
      <c r="B740" t="s">
        <v>158</v>
      </c>
      <c r="C740" t="s">
        <v>256</v>
      </c>
      <c r="E740" t="s">
        <v>883</v>
      </c>
      <c r="F740" t="s">
        <v>1746</v>
      </c>
      <c r="G740" t="s">
        <v>2719</v>
      </c>
      <c r="H740" t="s">
        <v>3208</v>
      </c>
      <c r="I740" t="s">
        <v>3488</v>
      </c>
      <c r="J740">
        <v>11358</v>
      </c>
      <c r="K740" t="s">
        <v>3522</v>
      </c>
      <c r="L740" t="s">
        <v>3525</v>
      </c>
      <c r="M740" t="s">
        <v>3854</v>
      </c>
      <c r="N740" t="s">
        <v>4107</v>
      </c>
      <c r="O740" t="s">
        <v>4136</v>
      </c>
      <c r="Q740" t="s">
        <v>4147</v>
      </c>
      <c r="R740" t="s">
        <v>3523</v>
      </c>
      <c r="T740" t="s">
        <v>4156</v>
      </c>
      <c r="V740" t="s">
        <v>4174</v>
      </c>
      <c r="W740">
        <v>1500</v>
      </c>
      <c r="X740" t="s">
        <v>4192</v>
      </c>
      <c r="Y740" t="s">
        <v>4197</v>
      </c>
      <c r="Z740" t="s">
        <v>4863</v>
      </c>
      <c r="AB740" t="s">
        <v>6213</v>
      </c>
      <c r="AC740">
        <v>3</v>
      </c>
      <c r="AE740" t="s">
        <v>3526</v>
      </c>
      <c r="AF740">
        <v>1</v>
      </c>
      <c r="AG740">
        <v>2</v>
      </c>
      <c r="AH740">
        <v>0</v>
      </c>
      <c r="AI740">
        <v>106.45</v>
      </c>
      <c r="AL740" t="s">
        <v>6805</v>
      </c>
      <c r="AM740">
        <v>18000</v>
      </c>
    </row>
    <row r="741" spans="1:44">
      <c r="A741" s="1">
        <f>HYPERLINK("https://lsnyc.legalserver.org/matter/dynamic-profile/view/1913423","19-1913423")</f>
        <v>0</v>
      </c>
      <c r="B741" t="s">
        <v>79</v>
      </c>
      <c r="C741" t="s">
        <v>192</v>
      </c>
      <c r="D741" t="s">
        <v>195</v>
      </c>
      <c r="E741" t="s">
        <v>884</v>
      </c>
      <c r="F741" t="s">
        <v>1747</v>
      </c>
      <c r="G741" t="s">
        <v>2720</v>
      </c>
      <c r="H741" t="s">
        <v>3242</v>
      </c>
      <c r="I741" t="s">
        <v>3493</v>
      </c>
      <c r="J741">
        <v>10460</v>
      </c>
      <c r="K741" t="s">
        <v>3522</v>
      </c>
      <c r="L741" t="s">
        <v>3525</v>
      </c>
      <c r="N741" t="s">
        <v>4107</v>
      </c>
      <c r="O741" t="s">
        <v>4132</v>
      </c>
      <c r="P741" t="s">
        <v>4139</v>
      </c>
      <c r="Q741" t="s">
        <v>4147</v>
      </c>
      <c r="R741" t="s">
        <v>3523</v>
      </c>
      <c r="T741" t="s">
        <v>4156</v>
      </c>
      <c r="U741" t="s">
        <v>4168</v>
      </c>
      <c r="V741" t="s">
        <v>238</v>
      </c>
      <c r="W741">
        <v>938</v>
      </c>
      <c r="X741" t="s">
        <v>4194</v>
      </c>
      <c r="Y741" t="s">
        <v>4211</v>
      </c>
      <c r="Z741" t="s">
        <v>4864</v>
      </c>
      <c r="AB741" t="s">
        <v>6214</v>
      </c>
      <c r="AC741">
        <v>0</v>
      </c>
      <c r="AD741" t="s">
        <v>6772</v>
      </c>
      <c r="AF741">
        <v>19</v>
      </c>
      <c r="AG741">
        <v>2</v>
      </c>
      <c r="AH741">
        <v>0</v>
      </c>
      <c r="AI741">
        <v>106.45</v>
      </c>
      <c r="AL741" t="s">
        <v>6801</v>
      </c>
      <c r="AM741">
        <v>18000</v>
      </c>
    </row>
    <row r="742" spans="1:44">
      <c r="A742" s="1">
        <f>HYPERLINK("https://lsnyc.legalserver.org/matter/dynamic-profile/view/1902565","19-1902565")</f>
        <v>0</v>
      </c>
      <c r="B742" t="s">
        <v>87</v>
      </c>
      <c r="C742" t="s">
        <v>339</v>
      </c>
      <c r="D742" t="s">
        <v>219</v>
      </c>
      <c r="E742" t="s">
        <v>885</v>
      </c>
      <c r="F742" t="s">
        <v>1748</v>
      </c>
      <c r="G742" t="s">
        <v>2721</v>
      </c>
      <c r="H742" t="s">
        <v>3272</v>
      </c>
      <c r="I742" t="s">
        <v>3495</v>
      </c>
      <c r="J742">
        <v>10034</v>
      </c>
      <c r="K742" t="s">
        <v>3522</v>
      </c>
      <c r="L742" t="s">
        <v>3525</v>
      </c>
      <c r="N742" t="s">
        <v>3554</v>
      </c>
      <c r="O742" t="s">
        <v>4132</v>
      </c>
      <c r="P742" t="s">
        <v>4139</v>
      </c>
      <c r="Q742" t="s">
        <v>4147</v>
      </c>
      <c r="R742" t="s">
        <v>3523</v>
      </c>
      <c r="T742" t="s">
        <v>4156</v>
      </c>
      <c r="V742" t="s">
        <v>252</v>
      </c>
      <c r="W742">
        <v>1061</v>
      </c>
      <c r="X742" t="s">
        <v>4196</v>
      </c>
      <c r="Y742" t="s">
        <v>4205</v>
      </c>
      <c r="Z742" t="s">
        <v>4865</v>
      </c>
      <c r="AB742" t="s">
        <v>6215</v>
      </c>
      <c r="AC742">
        <v>30</v>
      </c>
      <c r="AD742" t="s">
        <v>5524</v>
      </c>
      <c r="AE742" t="s">
        <v>3526</v>
      </c>
      <c r="AF742">
        <v>4</v>
      </c>
      <c r="AG742">
        <v>2</v>
      </c>
      <c r="AH742">
        <v>0</v>
      </c>
      <c r="AI742">
        <v>106.45</v>
      </c>
      <c r="AL742" t="s">
        <v>6802</v>
      </c>
      <c r="AM742">
        <v>18000</v>
      </c>
      <c r="AQ742" t="s">
        <v>6945</v>
      </c>
    </row>
    <row r="743" spans="1:44">
      <c r="A743" s="1">
        <f>HYPERLINK("https://lsnyc.legalserver.org/matter/dynamic-profile/view/1912552","19-1912552")</f>
        <v>0</v>
      </c>
      <c r="B743" t="s">
        <v>159</v>
      </c>
      <c r="C743" t="s">
        <v>178</v>
      </c>
      <c r="D743" t="s">
        <v>220</v>
      </c>
      <c r="E743" t="s">
        <v>886</v>
      </c>
      <c r="F743" t="s">
        <v>1283</v>
      </c>
      <c r="G743" t="s">
        <v>2722</v>
      </c>
      <c r="H743">
        <v>6</v>
      </c>
      <c r="I743" t="s">
        <v>3495</v>
      </c>
      <c r="J743">
        <v>10034</v>
      </c>
      <c r="K743" t="s">
        <v>3522</v>
      </c>
      <c r="L743" t="s">
        <v>3525</v>
      </c>
      <c r="N743" t="s">
        <v>4110</v>
      </c>
      <c r="O743" t="s">
        <v>4132</v>
      </c>
      <c r="P743" t="s">
        <v>4139</v>
      </c>
      <c r="Q743" t="s">
        <v>4147</v>
      </c>
      <c r="R743" t="s">
        <v>3523</v>
      </c>
      <c r="T743" t="s">
        <v>4156</v>
      </c>
      <c r="V743" t="s">
        <v>178</v>
      </c>
      <c r="W743">
        <v>902.13</v>
      </c>
      <c r="X743" t="s">
        <v>4196</v>
      </c>
      <c r="Y743" t="s">
        <v>4205</v>
      </c>
      <c r="Z743" t="s">
        <v>4866</v>
      </c>
      <c r="AB743" t="s">
        <v>6216</v>
      </c>
      <c r="AC743">
        <v>34</v>
      </c>
      <c r="AD743" t="s">
        <v>6772</v>
      </c>
      <c r="AE743" t="s">
        <v>6791</v>
      </c>
      <c r="AF743">
        <v>24</v>
      </c>
      <c r="AG743">
        <v>1</v>
      </c>
      <c r="AH743">
        <v>0</v>
      </c>
      <c r="AI743">
        <v>106.84</v>
      </c>
      <c r="AL743" t="s">
        <v>6802</v>
      </c>
      <c r="AM743">
        <v>13344</v>
      </c>
      <c r="AQ743" t="s">
        <v>6945</v>
      </c>
      <c r="AR743" t="s">
        <v>6994</v>
      </c>
    </row>
    <row r="744" spans="1:44">
      <c r="A744" s="1">
        <f>HYPERLINK("https://lsnyc.legalserver.org/matter/dynamic-profile/view/1912435","19-1912435")</f>
        <v>0</v>
      </c>
      <c r="B744" t="s">
        <v>45</v>
      </c>
      <c r="C744" t="s">
        <v>295</v>
      </c>
      <c r="E744" t="s">
        <v>685</v>
      </c>
      <c r="F744" t="s">
        <v>1266</v>
      </c>
      <c r="G744" t="s">
        <v>2165</v>
      </c>
      <c r="H744">
        <v>40</v>
      </c>
      <c r="I744" t="s">
        <v>3479</v>
      </c>
      <c r="J744">
        <v>11691</v>
      </c>
      <c r="K744" t="s">
        <v>3522</v>
      </c>
      <c r="L744" t="s">
        <v>3525</v>
      </c>
      <c r="M744" t="s">
        <v>3679</v>
      </c>
      <c r="N744" t="s">
        <v>4108</v>
      </c>
      <c r="O744" t="s">
        <v>4134</v>
      </c>
      <c r="Q744" t="s">
        <v>4147</v>
      </c>
      <c r="R744" t="s">
        <v>3522</v>
      </c>
      <c r="T744" t="s">
        <v>4156</v>
      </c>
      <c r="U744" t="s">
        <v>4168</v>
      </c>
      <c r="V744" t="s">
        <v>295</v>
      </c>
      <c r="W744">
        <v>660</v>
      </c>
      <c r="X744" t="s">
        <v>4192</v>
      </c>
      <c r="Y744" t="s">
        <v>4198</v>
      </c>
      <c r="Z744" t="s">
        <v>4867</v>
      </c>
      <c r="AB744" t="s">
        <v>6217</v>
      </c>
      <c r="AC744">
        <v>43</v>
      </c>
      <c r="AD744" t="s">
        <v>6772</v>
      </c>
      <c r="AE744" t="s">
        <v>3526</v>
      </c>
      <c r="AF744">
        <v>40</v>
      </c>
      <c r="AG744">
        <v>2</v>
      </c>
      <c r="AH744">
        <v>0</v>
      </c>
      <c r="AI744">
        <v>107.23</v>
      </c>
      <c r="AL744" t="s">
        <v>6801</v>
      </c>
      <c r="AM744">
        <v>18132</v>
      </c>
      <c r="AP744" t="s">
        <v>4200</v>
      </c>
    </row>
    <row r="745" spans="1:44">
      <c r="A745" s="1">
        <f>HYPERLINK("https://lsnyc.legalserver.org/matter/dynamic-profile/view/1903001","19-1903001")</f>
        <v>0</v>
      </c>
      <c r="B745" t="s">
        <v>69</v>
      </c>
      <c r="C745" t="s">
        <v>340</v>
      </c>
      <c r="E745" t="s">
        <v>887</v>
      </c>
      <c r="F745" t="s">
        <v>1454</v>
      </c>
      <c r="G745" t="s">
        <v>2214</v>
      </c>
      <c r="H745" t="s">
        <v>3155</v>
      </c>
      <c r="I745" t="s">
        <v>3490</v>
      </c>
      <c r="J745">
        <v>11212</v>
      </c>
      <c r="K745" t="s">
        <v>3522</v>
      </c>
      <c r="L745" t="s">
        <v>3525</v>
      </c>
      <c r="M745" t="s">
        <v>3855</v>
      </c>
      <c r="N745" t="s">
        <v>4109</v>
      </c>
      <c r="O745" t="s">
        <v>4134</v>
      </c>
      <c r="Q745" t="s">
        <v>4147</v>
      </c>
      <c r="R745" t="s">
        <v>3523</v>
      </c>
      <c r="T745" t="s">
        <v>4156</v>
      </c>
      <c r="U745" t="s">
        <v>4168</v>
      </c>
      <c r="V745" t="s">
        <v>241</v>
      </c>
      <c r="W745">
        <v>1534</v>
      </c>
      <c r="X745" t="s">
        <v>4193</v>
      </c>
      <c r="Y745" t="s">
        <v>4201</v>
      </c>
      <c r="Z745" t="s">
        <v>4868</v>
      </c>
      <c r="AA745">
        <v>9407455</v>
      </c>
      <c r="AB745" t="s">
        <v>6218</v>
      </c>
      <c r="AC745">
        <v>21</v>
      </c>
      <c r="AD745" t="s">
        <v>6772</v>
      </c>
      <c r="AE745" t="s">
        <v>6788</v>
      </c>
      <c r="AF745">
        <v>9</v>
      </c>
      <c r="AG745">
        <v>1</v>
      </c>
      <c r="AH745">
        <v>2</v>
      </c>
      <c r="AI745">
        <v>107.75</v>
      </c>
      <c r="AL745" t="s">
        <v>6801</v>
      </c>
      <c r="AM745">
        <v>22984.08</v>
      </c>
    </row>
    <row r="746" spans="1:44">
      <c r="A746" s="1">
        <f>HYPERLINK("https://lsnyc.legalserver.org/matter/dynamic-profile/view/1907920","19-1907920")</f>
        <v>0</v>
      </c>
      <c r="B746" t="s">
        <v>44</v>
      </c>
      <c r="C746" t="s">
        <v>193</v>
      </c>
      <c r="E746" t="s">
        <v>888</v>
      </c>
      <c r="F746" t="s">
        <v>1645</v>
      </c>
      <c r="G746" t="s">
        <v>2723</v>
      </c>
      <c r="H746" t="s">
        <v>3344</v>
      </c>
      <c r="I746" t="s">
        <v>3515</v>
      </c>
      <c r="J746">
        <v>11694</v>
      </c>
      <c r="K746" t="s">
        <v>3522</v>
      </c>
      <c r="L746" t="s">
        <v>3525</v>
      </c>
      <c r="M746" t="s">
        <v>3856</v>
      </c>
      <c r="N746" t="s">
        <v>4109</v>
      </c>
      <c r="O746" t="s">
        <v>4134</v>
      </c>
      <c r="Q746" t="s">
        <v>4147</v>
      </c>
      <c r="R746" t="s">
        <v>3523</v>
      </c>
      <c r="T746" t="s">
        <v>4156</v>
      </c>
      <c r="U746" t="s">
        <v>4168</v>
      </c>
      <c r="V746" t="s">
        <v>193</v>
      </c>
      <c r="W746">
        <v>933.92</v>
      </c>
      <c r="X746" t="s">
        <v>4192</v>
      </c>
      <c r="Y746" t="s">
        <v>4197</v>
      </c>
      <c r="Z746" t="s">
        <v>4869</v>
      </c>
      <c r="AA746" t="s">
        <v>3526</v>
      </c>
      <c r="AB746" t="s">
        <v>6219</v>
      </c>
      <c r="AC746">
        <v>240</v>
      </c>
      <c r="AD746" t="s">
        <v>6772</v>
      </c>
      <c r="AE746" t="s">
        <v>3526</v>
      </c>
      <c r="AF746">
        <v>12</v>
      </c>
      <c r="AG746">
        <v>1</v>
      </c>
      <c r="AH746">
        <v>0</v>
      </c>
      <c r="AI746">
        <v>107.8</v>
      </c>
      <c r="AL746" t="s">
        <v>6801</v>
      </c>
      <c r="AM746">
        <v>13464</v>
      </c>
      <c r="AO746" t="s">
        <v>6919</v>
      </c>
      <c r="AP746" t="s">
        <v>6924</v>
      </c>
      <c r="AQ746" t="s">
        <v>6945</v>
      </c>
      <c r="AR746" t="s">
        <v>6995</v>
      </c>
    </row>
    <row r="747" spans="1:44">
      <c r="A747" s="1">
        <f>HYPERLINK("https://lsnyc.legalserver.org/matter/dynamic-profile/view/1913154","19-1913154")</f>
        <v>0</v>
      </c>
      <c r="B747" t="s">
        <v>67</v>
      </c>
      <c r="C747" t="s">
        <v>186</v>
      </c>
      <c r="E747" t="s">
        <v>889</v>
      </c>
      <c r="F747" t="s">
        <v>1749</v>
      </c>
      <c r="G747" t="s">
        <v>2195</v>
      </c>
      <c r="H747" t="s">
        <v>3350</v>
      </c>
      <c r="I747" t="s">
        <v>3490</v>
      </c>
      <c r="J747">
        <v>11233</v>
      </c>
      <c r="K747" t="s">
        <v>3522</v>
      </c>
      <c r="L747" t="s">
        <v>3525</v>
      </c>
      <c r="N747" t="s">
        <v>3554</v>
      </c>
      <c r="O747" t="s">
        <v>4133</v>
      </c>
      <c r="Q747" t="s">
        <v>4147</v>
      </c>
      <c r="R747" t="s">
        <v>3523</v>
      </c>
      <c r="T747" t="s">
        <v>4156</v>
      </c>
      <c r="V747" t="s">
        <v>270</v>
      </c>
      <c r="W747">
        <v>967.78</v>
      </c>
      <c r="X747" t="s">
        <v>4193</v>
      </c>
      <c r="Y747" t="s">
        <v>4201</v>
      </c>
      <c r="Z747" t="s">
        <v>4870</v>
      </c>
      <c r="AA747" t="s">
        <v>5601</v>
      </c>
      <c r="AB747" t="s">
        <v>6220</v>
      </c>
      <c r="AC747">
        <v>359</v>
      </c>
      <c r="AD747" t="s">
        <v>6772</v>
      </c>
      <c r="AF747">
        <v>0</v>
      </c>
      <c r="AG747">
        <v>1</v>
      </c>
      <c r="AH747">
        <v>2</v>
      </c>
      <c r="AI747">
        <v>108.24</v>
      </c>
      <c r="AL747" t="s">
        <v>6801</v>
      </c>
      <c r="AM747">
        <v>23088</v>
      </c>
    </row>
    <row r="748" spans="1:44">
      <c r="A748" s="1">
        <f>HYPERLINK("https://lsnyc.legalserver.org/matter/dynamic-profile/view/1909699","19-1909699")</f>
        <v>0</v>
      </c>
      <c r="B748" t="s">
        <v>101</v>
      </c>
      <c r="C748" t="s">
        <v>227</v>
      </c>
      <c r="D748" t="s">
        <v>332</v>
      </c>
      <c r="E748" t="s">
        <v>890</v>
      </c>
      <c r="F748" t="s">
        <v>1750</v>
      </c>
      <c r="G748" t="s">
        <v>2724</v>
      </c>
      <c r="I748" t="s">
        <v>3493</v>
      </c>
      <c r="J748">
        <v>10452</v>
      </c>
      <c r="K748" t="s">
        <v>3522</v>
      </c>
      <c r="L748" t="s">
        <v>3525</v>
      </c>
      <c r="M748" t="s">
        <v>3857</v>
      </c>
      <c r="N748" t="s">
        <v>4109</v>
      </c>
      <c r="O748" t="s">
        <v>4132</v>
      </c>
      <c r="P748" t="s">
        <v>4139</v>
      </c>
      <c r="Q748" t="s">
        <v>4147</v>
      </c>
      <c r="R748" t="s">
        <v>3523</v>
      </c>
      <c r="T748" t="s">
        <v>4156</v>
      </c>
      <c r="V748" t="s">
        <v>251</v>
      </c>
      <c r="W748">
        <v>1774</v>
      </c>
      <c r="X748" t="s">
        <v>4194</v>
      </c>
      <c r="Y748" t="s">
        <v>4202</v>
      </c>
      <c r="Z748" t="s">
        <v>4871</v>
      </c>
      <c r="AB748" t="s">
        <v>6221</v>
      </c>
      <c r="AC748">
        <v>60</v>
      </c>
      <c r="AD748" t="s">
        <v>6772</v>
      </c>
      <c r="AE748" t="s">
        <v>6786</v>
      </c>
      <c r="AF748">
        <v>10</v>
      </c>
      <c r="AG748">
        <v>1</v>
      </c>
      <c r="AH748">
        <v>2</v>
      </c>
      <c r="AI748">
        <v>108.24</v>
      </c>
      <c r="AL748" t="s">
        <v>6802</v>
      </c>
      <c r="AM748">
        <v>23088</v>
      </c>
    </row>
    <row r="749" spans="1:44">
      <c r="A749" s="1">
        <f>HYPERLINK("https://lsnyc.legalserver.org/matter/dynamic-profile/view/1914403","19-1914403")</f>
        <v>0</v>
      </c>
      <c r="B749" t="s">
        <v>45</v>
      </c>
      <c r="C749" t="s">
        <v>289</v>
      </c>
      <c r="E749" t="s">
        <v>891</v>
      </c>
      <c r="F749" t="s">
        <v>1751</v>
      </c>
      <c r="G749" t="s">
        <v>2725</v>
      </c>
      <c r="H749" t="s">
        <v>3154</v>
      </c>
      <c r="I749" t="s">
        <v>3514</v>
      </c>
      <c r="J749">
        <v>11421</v>
      </c>
      <c r="K749" t="s">
        <v>3522</v>
      </c>
      <c r="L749" t="s">
        <v>3525</v>
      </c>
      <c r="M749" t="s">
        <v>3858</v>
      </c>
      <c r="N749" t="s">
        <v>4107</v>
      </c>
      <c r="O749" t="s">
        <v>4132</v>
      </c>
      <c r="Q749" t="s">
        <v>4147</v>
      </c>
      <c r="R749" t="s">
        <v>3523</v>
      </c>
      <c r="T749" t="s">
        <v>4156</v>
      </c>
      <c r="V749" t="s">
        <v>297</v>
      </c>
      <c r="W749">
        <v>800</v>
      </c>
      <c r="X749" t="s">
        <v>4192</v>
      </c>
      <c r="Y749" t="s">
        <v>4197</v>
      </c>
      <c r="Z749" t="s">
        <v>4872</v>
      </c>
      <c r="AB749" t="s">
        <v>6222</v>
      </c>
      <c r="AC749">
        <v>3</v>
      </c>
      <c r="AD749" t="s">
        <v>5524</v>
      </c>
      <c r="AE749" t="s">
        <v>3526</v>
      </c>
      <c r="AF749">
        <v>33</v>
      </c>
      <c r="AG749">
        <v>2</v>
      </c>
      <c r="AH749">
        <v>0</v>
      </c>
      <c r="AI749">
        <v>108.5</v>
      </c>
      <c r="AL749" t="s">
        <v>6801</v>
      </c>
      <c r="AM749">
        <v>18348</v>
      </c>
    </row>
    <row r="750" spans="1:44">
      <c r="A750" s="1">
        <f>HYPERLINK("https://lsnyc.legalserver.org/matter/dynamic-profile/view/1913381","19-1913381")</f>
        <v>0</v>
      </c>
      <c r="B750" t="s">
        <v>99</v>
      </c>
      <c r="C750" t="s">
        <v>192</v>
      </c>
      <c r="E750" t="s">
        <v>679</v>
      </c>
      <c r="F750" t="s">
        <v>1752</v>
      </c>
      <c r="G750" t="s">
        <v>2373</v>
      </c>
      <c r="I750" t="s">
        <v>3495</v>
      </c>
      <c r="J750">
        <v>10029</v>
      </c>
      <c r="K750" t="s">
        <v>3522</v>
      </c>
      <c r="L750" t="s">
        <v>3525</v>
      </c>
      <c r="N750" t="s">
        <v>4108</v>
      </c>
      <c r="O750" t="s">
        <v>4132</v>
      </c>
      <c r="Q750" t="s">
        <v>4147</v>
      </c>
      <c r="R750" t="s">
        <v>3522</v>
      </c>
      <c r="T750" t="s">
        <v>4156</v>
      </c>
      <c r="U750" t="s">
        <v>4168</v>
      </c>
      <c r="V750" t="s">
        <v>313</v>
      </c>
      <c r="W750">
        <v>511</v>
      </c>
      <c r="X750" t="s">
        <v>4196</v>
      </c>
      <c r="Y750" t="s">
        <v>4198</v>
      </c>
      <c r="Z750" t="s">
        <v>4873</v>
      </c>
      <c r="AB750" t="s">
        <v>6223</v>
      </c>
      <c r="AC750">
        <v>108</v>
      </c>
      <c r="AD750" t="s">
        <v>6772</v>
      </c>
      <c r="AE750" t="s">
        <v>3526</v>
      </c>
      <c r="AF750">
        <v>34</v>
      </c>
      <c r="AG750">
        <v>3</v>
      </c>
      <c r="AH750">
        <v>0</v>
      </c>
      <c r="AI750">
        <v>108.56</v>
      </c>
      <c r="AL750" t="s">
        <v>6802</v>
      </c>
      <c r="AM750">
        <v>23156</v>
      </c>
    </row>
    <row r="751" spans="1:44">
      <c r="A751" s="1">
        <f>HYPERLINK("https://lsnyc.legalserver.org/matter/dynamic-profile/view/1912652","19-1912652")</f>
        <v>0</v>
      </c>
      <c r="B751" t="s">
        <v>64</v>
      </c>
      <c r="C751" t="s">
        <v>287</v>
      </c>
      <c r="E751" t="s">
        <v>808</v>
      </c>
      <c r="F751" t="s">
        <v>1480</v>
      </c>
      <c r="G751" t="s">
        <v>2726</v>
      </c>
      <c r="H751" t="s">
        <v>3183</v>
      </c>
      <c r="I751" t="s">
        <v>3490</v>
      </c>
      <c r="J751">
        <v>11215</v>
      </c>
      <c r="K751" t="s">
        <v>3522</v>
      </c>
      <c r="L751" t="s">
        <v>3525</v>
      </c>
      <c r="O751" t="s">
        <v>4132</v>
      </c>
      <c r="Q751" t="s">
        <v>4147</v>
      </c>
      <c r="R751" t="s">
        <v>3523</v>
      </c>
      <c r="T751" t="s">
        <v>4156</v>
      </c>
      <c r="V751" t="s">
        <v>295</v>
      </c>
      <c r="W751">
        <v>0</v>
      </c>
      <c r="X751" t="s">
        <v>4193</v>
      </c>
      <c r="Y751" t="s">
        <v>4206</v>
      </c>
      <c r="Z751" t="s">
        <v>4874</v>
      </c>
      <c r="AB751" t="s">
        <v>6224</v>
      </c>
      <c r="AC751">
        <v>8</v>
      </c>
      <c r="AF751">
        <v>7</v>
      </c>
      <c r="AG751">
        <v>1</v>
      </c>
      <c r="AH751">
        <v>3</v>
      </c>
      <c r="AI751">
        <v>108.74</v>
      </c>
      <c r="AL751" t="s">
        <v>6801</v>
      </c>
      <c r="AM751">
        <v>28000</v>
      </c>
    </row>
    <row r="752" spans="1:44">
      <c r="A752" s="1">
        <f>HYPERLINK("https://lsnyc.legalserver.org/matter/dynamic-profile/view/1908730","19-1908730")</f>
        <v>0</v>
      </c>
      <c r="B752" t="s">
        <v>77</v>
      </c>
      <c r="C752" t="s">
        <v>205</v>
      </c>
      <c r="D752" t="s">
        <v>267</v>
      </c>
      <c r="E752" t="s">
        <v>892</v>
      </c>
      <c r="F752" t="s">
        <v>1379</v>
      </c>
      <c r="G752" t="s">
        <v>2727</v>
      </c>
      <c r="H752">
        <v>22</v>
      </c>
      <c r="I752" t="s">
        <v>3493</v>
      </c>
      <c r="J752">
        <v>10453</v>
      </c>
      <c r="K752" t="s">
        <v>3522</v>
      </c>
      <c r="L752" t="s">
        <v>3525</v>
      </c>
      <c r="N752" t="s">
        <v>3554</v>
      </c>
      <c r="O752" t="s">
        <v>4132</v>
      </c>
      <c r="P752" t="s">
        <v>4139</v>
      </c>
      <c r="Q752" t="s">
        <v>4147</v>
      </c>
      <c r="R752" t="s">
        <v>3523</v>
      </c>
      <c r="T752" t="s">
        <v>4156</v>
      </c>
      <c r="V752" t="s">
        <v>198</v>
      </c>
      <c r="W752">
        <v>1400</v>
      </c>
      <c r="X752" t="s">
        <v>4194</v>
      </c>
      <c r="Y752" t="s">
        <v>4201</v>
      </c>
      <c r="Z752" t="s">
        <v>4875</v>
      </c>
      <c r="AB752" t="s">
        <v>6225</v>
      </c>
      <c r="AC752">
        <v>6</v>
      </c>
      <c r="AE752" t="s">
        <v>6787</v>
      </c>
      <c r="AF752">
        <v>8</v>
      </c>
      <c r="AG752">
        <v>2</v>
      </c>
      <c r="AH752">
        <v>0</v>
      </c>
      <c r="AI752">
        <v>109.07</v>
      </c>
      <c r="AL752" t="s">
        <v>6802</v>
      </c>
      <c r="AM752">
        <v>18444</v>
      </c>
    </row>
    <row r="753" spans="1:44">
      <c r="A753" s="1">
        <f>HYPERLINK("https://lsnyc.legalserver.org/matter/dynamic-profile/view/1917184","19-1917184")</f>
        <v>0</v>
      </c>
      <c r="B753" t="s">
        <v>113</v>
      </c>
      <c r="C753" t="s">
        <v>332</v>
      </c>
      <c r="E753" t="s">
        <v>893</v>
      </c>
      <c r="F753" t="s">
        <v>1753</v>
      </c>
      <c r="G753" t="s">
        <v>2728</v>
      </c>
      <c r="H753" t="s">
        <v>3351</v>
      </c>
      <c r="I753" t="s">
        <v>3487</v>
      </c>
      <c r="J753">
        <v>11368</v>
      </c>
      <c r="K753" t="s">
        <v>3522</v>
      </c>
      <c r="L753" t="s">
        <v>3525</v>
      </c>
      <c r="M753" t="s">
        <v>3859</v>
      </c>
      <c r="N753" t="s">
        <v>4109</v>
      </c>
      <c r="O753" t="s">
        <v>4136</v>
      </c>
      <c r="Q753" t="s">
        <v>4147</v>
      </c>
      <c r="R753" t="s">
        <v>3523</v>
      </c>
      <c r="T753" t="s">
        <v>4156</v>
      </c>
      <c r="V753" t="s">
        <v>332</v>
      </c>
      <c r="W753">
        <v>1237</v>
      </c>
      <c r="X753" t="s">
        <v>4192</v>
      </c>
      <c r="Y753" t="s">
        <v>4197</v>
      </c>
      <c r="Z753" t="s">
        <v>4876</v>
      </c>
      <c r="AB753" t="s">
        <v>6226</v>
      </c>
      <c r="AC753">
        <v>32</v>
      </c>
      <c r="AD753" t="s">
        <v>5524</v>
      </c>
      <c r="AE753" t="s">
        <v>3526</v>
      </c>
      <c r="AF753">
        <v>10</v>
      </c>
      <c r="AG753">
        <v>3</v>
      </c>
      <c r="AH753">
        <v>4</v>
      </c>
      <c r="AI753">
        <v>109.2</v>
      </c>
      <c r="AL753" t="s">
        <v>6801</v>
      </c>
      <c r="AM753">
        <v>42600</v>
      </c>
    </row>
    <row r="754" spans="1:44">
      <c r="A754" s="1">
        <f>HYPERLINK("https://lsnyc.legalserver.org/matter/dynamic-profile/view/1913773","19-1913773")</f>
        <v>0</v>
      </c>
      <c r="B754" t="s">
        <v>124</v>
      </c>
      <c r="C754" t="s">
        <v>238</v>
      </c>
      <c r="D754" t="s">
        <v>204</v>
      </c>
      <c r="E754" t="s">
        <v>894</v>
      </c>
      <c r="F754" t="s">
        <v>1754</v>
      </c>
      <c r="G754" t="s">
        <v>2729</v>
      </c>
      <c r="I754" t="s">
        <v>3493</v>
      </c>
      <c r="J754">
        <v>10453</v>
      </c>
      <c r="K754" t="s">
        <v>3522</v>
      </c>
      <c r="M754" t="s">
        <v>3860</v>
      </c>
      <c r="N754" t="s">
        <v>4108</v>
      </c>
      <c r="O754" t="s">
        <v>4132</v>
      </c>
      <c r="P754" t="s">
        <v>4139</v>
      </c>
      <c r="Q754" t="s">
        <v>4147</v>
      </c>
      <c r="R754" t="s">
        <v>3523</v>
      </c>
      <c r="T754" t="s">
        <v>4156</v>
      </c>
      <c r="V754" t="s">
        <v>245</v>
      </c>
      <c r="W754">
        <v>0</v>
      </c>
      <c r="X754" t="s">
        <v>4194</v>
      </c>
      <c r="Z754" t="s">
        <v>4877</v>
      </c>
      <c r="AB754" t="s">
        <v>6227</v>
      </c>
      <c r="AC754">
        <v>0</v>
      </c>
      <c r="AE754" t="s">
        <v>6786</v>
      </c>
      <c r="AF754">
        <v>0</v>
      </c>
      <c r="AG754">
        <v>1</v>
      </c>
      <c r="AH754">
        <v>0</v>
      </c>
      <c r="AI754">
        <v>109.24</v>
      </c>
      <c r="AL754" t="s">
        <v>6801</v>
      </c>
      <c r="AM754">
        <v>13644</v>
      </c>
    </row>
    <row r="755" spans="1:44">
      <c r="A755" s="1">
        <f>HYPERLINK("https://lsnyc.legalserver.org/matter/dynamic-profile/view/1916723","19-1916723")</f>
        <v>0</v>
      </c>
      <c r="B755" t="s">
        <v>91</v>
      </c>
      <c r="C755" t="s">
        <v>195</v>
      </c>
      <c r="E755" t="s">
        <v>895</v>
      </c>
      <c r="F755" t="s">
        <v>1281</v>
      </c>
      <c r="G755" t="s">
        <v>2332</v>
      </c>
      <c r="H755">
        <v>51</v>
      </c>
      <c r="I755" t="s">
        <v>3495</v>
      </c>
      <c r="J755">
        <v>10029</v>
      </c>
      <c r="K755" t="s">
        <v>3522</v>
      </c>
      <c r="L755" t="s">
        <v>3525</v>
      </c>
      <c r="N755" t="s">
        <v>4108</v>
      </c>
      <c r="O755" t="s">
        <v>4135</v>
      </c>
      <c r="Q755" t="s">
        <v>4147</v>
      </c>
      <c r="R755" t="s">
        <v>3522</v>
      </c>
      <c r="T755" t="s">
        <v>4156</v>
      </c>
      <c r="U755" t="s">
        <v>4168</v>
      </c>
      <c r="V755" t="s">
        <v>195</v>
      </c>
      <c r="W755">
        <v>138</v>
      </c>
      <c r="X755" t="s">
        <v>4196</v>
      </c>
      <c r="Y755" t="s">
        <v>4198</v>
      </c>
      <c r="Z755" t="s">
        <v>4878</v>
      </c>
      <c r="AB755" t="s">
        <v>6228</v>
      </c>
      <c r="AC755">
        <v>135</v>
      </c>
      <c r="AD755" t="s">
        <v>6772</v>
      </c>
      <c r="AE755" t="s">
        <v>6786</v>
      </c>
      <c r="AF755">
        <v>25</v>
      </c>
      <c r="AG755">
        <v>2</v>
      </c>
      <c r="AH755">
        <v>0</v>
      </c>
      <c r="AI755">
        <v>109.36</v>
      </c>
      <c r="AL755" t="s">
        <v>6801</v>
      </c>
      <c r="AM755">
        <v>18492</v>
      </c>
    </row>
    <row r="756" spans="1:44">
      <c r="A756" s="1">
        <f>HYPERLINK("https://lsnyc.legalserver.org/matter/dynamic-profile/view/1910867","19-1910867")</f>
        <v>0</v>
      </c>
      <c r="B756" t="s">
        <v>61</v>
      </c>
      <c r="C756" t="s">
        <v>201</v>
      </c>
      <c r="D756" t="s">
        <v>359</v>
      </c>
      <c r="E756" t="s">
        <v>896</v>
      </c>
      <c r="F756" t="s">
        <v>1323</v>
      </c>
      <c r="G756" t="s">
        <v>2369</v>
      </c>
      <c r="I756" t="s">
        <v>3490</v>
      </c>
      <c r="J756">
        <v>11212</v>
      </c>
      <c r="K756" t="s">
        <v>3522</v>
      </c>
      <c r="L756" t="s">
        <v>3525</v>
      </c>
      <c r="M756" t="s">
        <v>3861</v>
      </c>
      <c r="N756" t="s">
        <v>4109</v>
      </c>
      <c r="O756" t="s">
        <v>4132</v>
      </c>
      <c r="P756" t="s">
        <v>4139</v>
      </c>
      <c r="Q756" t="s">
        <v>4147</v>
      </c>
      <c r="R756" t="s">
        <v>3523</v>
      </c>
      <c r="T756" t="s">
        <v>4156</v>
      </c>
      <c r="U756" t="s">
        <v>4168</v>
      </c>
      <c r="V756" t="s">
        <v>201</v>
      </c>
      <c r="W756">
        <v>1800</v>
      </c>
      <c r="X756" t="s">
        <v>4193</v>
      </c>
      <c r="Y756" t="s">
        <v>4202</v>
      </c>
      <c r="Z756" t="s">
        <v>4679</v>
      </c>
      <c r="AA756" t="s">
        <v>5505</v>
      </c>
      <c r="AB756" t="s">
        <v>6229</v>
      </c>
      <c r="AC756">
        <v>132</v>
      </c>
      <c r="AD756" t="s">
        <v>6781</v>
      </c>
      <c r="AE756" t="s">
        <v>6786</v>
      </c>
      <c r="AF756">
        <v>1</v>
      </c>
      <c r="AG756">
        <v>2</v>
      </c>
      <c r="AH756">
        <v>1</v>
      </c>
      <c r="AI756">
        <v>109.7</v>
      </c>
      <c r="AL756" t="s">
        <v>6801</v>
      </c>
      <c r="AM756">
        <v>23400</v>
      </c>
    </row>
    <row r="757" spans="1:44">
      <c r="A757" s="1">
        <f>HYPERLINK("https://lsnyc.legalserver.org/matter/dynamic-profile/view/1901676","19-1901676")</f>
        <v>0</v>
      </c>
      <c r="B757" t="s">
        <v>96</v>
      </c>
      <c r="C757" t="s">
        <v>300</v>
      </c>
      <c r="D757" t="s">
        <v>307</v>
      </c>
      <c r="E757" t="s">
        <v>897</v>
      </c>
      <c r="F757" t="s">
        <v>1755</v>
      </c>
      <c r="G757" t="s">
        <v>2730</v>
      </c>
      <c r="H757">
        <v>402</v>
      </c>
      <c r="I757" t="s">
        <v>3493</v>
      </c>
      <c r="J757">
        <v>10453</v>
      </c>
      <c r="K757" t="s">
        <v>3522</v>
      </c>
      <c r="L757" t="s">
        <v>3525</v>
      </c>
      <c r="O757" t="s">
        <v>4132</v>
      </c>
      <c r="P757" t="s">
        <v>4139</v>
      </c>
      <c r="Q757" t="s">
        <v>4147</v>
      </c>
      <c r="R757" t="s">
        <v>3523</v>
      </c>
      <c r="T757" t="s">
        <v>4156</v>
      </c>
      <c r="V757" t="s">
        <v>4175</v>
      </c>
      <c r="W757">
        <v>1048</v>
      </c>
      <c r="X757" t="s">
        <v>4194</v>
      </c>
      <c r="Y757" t="s">
        <v>4206</v>
      </c>
      <c r="Z757" t="s">
        <v>4879</v>
      </c>
      <c r="AC757">
        <v>146</v>
      </c>
      <c r="AD757" t="s">
        <v>5524</v>
      </c>
      <c r="AE757" t="s">
        <v>3526</v>
      </c>
      <c r="AF757">
        <v>4</v>
      </c>
      <c r="AG757">
        <v>2</v>
      </c>
      <c r="AH757">
        <v>1</v>
      </c>
      <c r="AI757">
        <v>109.7</v>
      </c>
      <c r="AL757" t="s">
        <v>6802</v>
      </c>
      <c r="AM757">
        <v>23400</v>
      </c>
    </row>
    <row r="758" spans="1:44">
      <c r="A758" s="1">
        <f>HYPERLINK("https://lsnyc.legalserver.org/matter/dynamic-profile/view/1911731","19-1911731")</f>
        <v>0</v>
      </c>
      <c r="B758" t="s">
        <v>90</v>
      </c>
      <c r="C758" t="s">
        <v>194</v>
      </c>
      <c r="E758" t="s">
        <v>426</v>
      </c>
      <c r="F758" t="s">
        <v>1395</v>
      </c>
      <c r="G758" t="s">
        <v>2731</v>
      </c>
      <c r="H758" t="s">
        <v>3352</v>
      </c>
      <c r="I758" t="s">
        <v>3495</v>
      </c>
      <c r="J758">
        <v>10032</v>
      </c>
      <c r="K758" t="s">
        <v>3522</v>
      </c>
      <c r="L758" t="s">
        <v>3525</v>
      </c>
      <c r="N758" t="s">
        <v>4107</v>
      </c>
      <c r="O758" t="s">
        <v>4134</v>
      </c>
      <c r="Q758" t="s">
        <v>4147</v>
      </c>
      <c r="R758" t="s">
        <v>3523</v>
      </c>
      <c r="T758" t="s">
        <v>4156</v>
      </c>
      <c r="V758" t="s">
        <v>194</v>
      </c>
      <c r="W758">
        <v>370</v>
      </c>
      <c r="X758" t="s">
        <v>4196</v>
      </c>
      <c r="Y758" t="s">
        <v>4201</v>
      </c>
      <c r="Z758" t="s">
        <v>4880</v>
      </c>
      <c r="AB758" t="s">
        <v>6230</v>
      </c>
      <c r="AC758">
        <v>69</v>
      </c>
      <c r="AD758" t="s">
        <v>6772</v>
      </c>
      <c r="AE758" t="s">
        <v>3526</v>
      </c>
      <c r="AF758">
        <v>9</v>
      </c>
      <c r="AG758">
        <v>3</v>
      </c>
      <c r="AH758">
        <v>0</v>
      </c>
      <c r="AI758">
        <v>109.7</v>
      </c>
      <c r="AL758" t="s">
        <v>6802</v>
      </c>
      <c r="AM758">
        <v>23400</v>
      </c>
    </row>
    <row r="759" spans="1:44">
      <c r="A759" s="1">
        <f>HYPERLINK("https://lsnyc.legalserver.org/matter/dynamic-profile/view/1907071","19-1907071")</f>
        <v>0</v>
      </c>
      <c r="B759" t="s">
        <v>90</v>
      </c>
      <c r="C759" t="s">
        <v>244</v>
      </c>
      <c r="E759" t="s">
        <v>426</v>
      </c>
      <c r="F759" t="s">
        <v>1395</v>
      </c>
      <c r="G759" t="s">
        <v>2731</v>
      </c>
      <c r="H759" t="s">
        <v>3352</v>
      </c>
      <c r="I759" t="s">
        <v>3495</v>
      </c>
      <c r="J759">
        <v>10032</v>
      </c>
      <c r="K759" t="s">
        <v>3522</v>
      </c>
      <c r="L759" t="s">
        <v>3525</v>
      </c>
      <c r="N759" t="s">
        <v>4113</v>
      </c>
      <c r="O759" t="s">
        <v>4133</v>
      </c>
      <c r="Q759" t="s">
        <v>4147</v>
      </c>
      <c r="R759" t="s">
        <v>3523</v>
      </c>
      <c r="T759" t="s">
        <v>4156</v>
      </c>
      <c r="V759" t="s">
        <v>244</v>
      </c>
      <c r="W759">
        <v>370</v>
      </c>
      <c r="X759" t="s">
        <v>4196</v>
      </c>
      <c r="Y759" t="s">
        <v>4201</v>
      </c>
      <c r="Z759" t="s">
        <v>4880</v>
      </c>
      <c r="AB759" t="s">
        <v>6230</v>
      </c>
      <c r="AC759">
        <v>69</v>
      </c>
      <c r="AD759" t="s">
        <v>6780</v>
      </c>
      <c r="AE759" t="s">
        <v>3526</v>
      </c>
      <c r="AF759">
        <v>9</v>
      </c>
      <c r="AG759">
        <v>3</v>
      </c>
      <c r="AH759">
        <v>0</v>
      </c>
      <c r="AI759">
        <v>109.7</v>
      </c>
      <c r="AL759" t="s">
        <v>6802</v>
      </c>
      <c r="AM759">
        <v>23400</v>
      </c>
    </row>
    <row r="760" spans="1:44">
      <c r="A760" s="1">
        <f>HYPERLINK("https://lsnyc.legalserver.org/matter/dynamic-profile/view/1910410","19-1910410")</f>
        <v>0</v>
      </c>
      <c r="B760" t="s">
        <v>94</v>
      </c>
      <c r="C760" t="s">
        <v>214</v>
      </c>
      <c r="D760" t="s">
        <v>332</v>
      </c>
      <c r="E760" t="s">
        <v>898</v>
      </c>
      <c r="F760" t="s">
        <v>1756</v>
      </c>
      <c r="G760" t="s">
        <v>2732</v>
      </c>
      <c r="H760" t="s">
        <v>3331</v>
      </c>
      <c r="I760" t="s">
        <v>3495</v>
      </c>
      <c r="J760">
        <v>10028</v>
      </c>
      <c r="K760" t="s">
        <v>3522</v>
      </c>
      <c r="L760" t="s">
        <v>3525</v>
      </c>
      <c r="N760" t="s">
        <v>4121</v>
      </c>
      <c r="O760" t="s">
        <v>4133</v>
      </c>
      <c r="P760" t="s">
        <v>4146</v>
      </c>
      <c r="Q760" t="s">
        <v>4147</v>
      </c>
      <c r="R760" t="s">
        <v>3523</v>
      </c>
      <c r="T760" t="s">
        <v>4162</v>
      </c>
      <c r="U760" t="s">
        <v>4168</v>
      </c>
      <c r="V760" t="s">
        <v>230</v>
      </c>
      <c r="W760">
        <v>1844.37</v>
      </c>
      <c r="X760" t="s">
        <v>4196</v>
      </c>
      <c r="Y760" t="s">
        <v>4201</v>
      </c>
      <c r="Z760" t="s">
        <v>4881</v>
      </c>
      <c r="AA760" t="s">
        <v>5602</v>
      </c>
      <c r="AB760" t="s">
        <v>6231</v>
      </c>
      <c r="AC760">
        <v>60</v>
      </c>
      <c r="AD760" t="s">
        <v>6780</v>
      </c>
      <c r="AE760" t="s">
        <v>6791</v>
      </c>
      <c r="AF760">
        <v>49</v>
      </c>
      <c r="AG760">
        <v>2</v>
      </c>
      <c r="AH760">
        <v>0</v>
      </c>
      <c r="AI760">
        <v>109.78</v>
      </c>
      <c r="AL760" t="s">
        <v>6801</v>
      </c>
      <c r="AM760">
        <v>18564</v>
      </c>
      <c r="AQ760" t="s">
        <v>6945</v>
      </c>
      <c r="AR760" t="s">
        <v>6996</v>
      </c>
    </row>
    <row r="761" spans="1:44">
      <c r="A761" s="1">
        <f>HYPERLINK("https://lsnyc.legalserver.org/matter/dynamic-profile/view/1909970","19-1909970")</f>
        <v>0</v>
      </c>
      <c r="B761" t="s">
        <v>101</v>
      </c>
      <c r="C761" t="s">
        <v>341</v>
      </c>
      <c r="D761" t="s">
        <v>332</v>
      </c>
      <c r="E761" t="s">
        <v>899</v>
      </c>
      <c r="F761" t="s">
        <v>1521</v>
      </c>
      <c r="G761" t="s">
        <v>2733</v>
      </c>
      <c r="H761" t="s">
        <v>3330</v>
      </c>
      <c r="I761" t="s">
        <v>3493</v>
      </c>
      <c r="J761">
        <v>10453</v>
      </c>
      <c r="K761" t="s">
        <v>3522</v>
      </c>
      <c r="L761" t="s">
        <v>3525</v>
      </c>
      <c r="M761" t="s">
        <v>3862</v>
      </c>
      <c r="N761" t="s">
        <v>4109</v>
      </c>
      <c r="O761" t="s">
        <v>4132</v>
      </c>
      <c r="P761" t="s">
        <v>4139</v>
      </c>
      <c r="Q761" t="s">
        <v>4147</v>
      </c>
      <c r="R761" t="s">
        <v>3523</v>
      </c>
      <c r="T761" t="s">
        <v>4156</v>
      </c>
      <c r="V761" t="s">
        <v>198</v>
      </c>
      <c r="W761">
        <v>777.34</v>
      </c>
      <c r="X761" t="s">
        <v>4194</v>
      </c>
      <c r="Z761" t="s">
        <v>4882</v>
      </c>
      <c r="AB761" t="s">
        <v>6232</v>
      </c>
      <c r="AC761">
        <v>42</v>
      </c>
      <c r="AD761" t="s">
        <v>6780</v>
      </c>
      <c r="AE761" t="s">
        <v>3526</v>
      </c>
      <c r="AF761">
        <v>37</v>
      </c>
      <c r="AG761">
        <v>2</v>
      </c>
      <c r="AH761">
        <v>2</v>
      </c>
      <c r="AI761">
        <v>110.06</v>
      </c>
      <c r="AL761" t="s">
        <v>6801</v>
      </c>
      <c r="AM761">
        <v>28340</v>
      </c>
    </row>
    <row r="762" spans="1:44">
      <c r="A762" s="1">
        <f>HYPERLINK("https://lsnyc.legalserver.org/matter/dynamic-profile/view/1906058","19-1906058")</f>
        <v>0</v>
      </c>
      <c r="B762" t="s">
        <v>69</v>
      </c>
      <c r="C762" t="s">
        <v>207</v>
      </c>
      <c r="E762" t="s">
        <v>900</v>
      </c>
      <c r="F762" t="s">
        <v>1757</v>
      </c>
      <c r="G762" t="s">
        <v>2734</v>
      </c>
      <c r="H762" t="s">
        <v>3353</v>
      </c>
      <c r="I762" t="s">
        <v>3490</v>
      </c>
      <c r="J762">
        <v>11233</v>
      </c>
      <c r="K762" t="s">
        <v>3522</v>
      </c>
      <c r="L762" t="s">
        <v>3525</v>
      </c>
      <c r="M762" t="s">
        <v>3863</v>
      </c>
      <c r="N762" t="s">
        <v>4109</v>
      </c>
      <c r="O762" t="s">
        <v>4134</v>
      </c>
      <c r="Q762" t="s">
        <v>4147</v>
      </c>
      <c r="R762" t="s">
        <v>3523</v>
      </c>
      <c r="T762" t="s">
        <v>4156</v>
      </c>
      <c r="U762" t="s">
        <v>4170</v>
      </c>
      <c r="V762" t="s">
        <v>241</v>
      </c>
      <c r="W762">
        <v>1100.06</v>
      </c>
      <c r="X762" t="s">
        <v>4193</v>
      </c>
      <c r="Y762" t="s">
        <v>4208</v>
      </c>
      <c r="Z762" t="s">
        <v>4883</v>
      </c>
      <c r="AA762" t="s">
        <v>5524</v>
      </c>
      <c r="AB762" t="s">
        <v>6233</v>
      </c>
      <c r="AC762">
        <v>43</v>
      </c>
      <c r="AD762" t="s">
        <v>6772</v>
      </c>
      <c r="AE762" t="s">
        <v>3526</v>
      </c>
      <c r="AF762">
        <v>45</v>
      </c>
      <c r="AG762">
        <v>3</v>
      </c>
      <c r="AH762">
        <v>0</v>
      </c>
      <c r="AI762">
        <v>110.15</v>
      </c>
      <c r="AL762" t="s">
        <v>6801</v>
      </c>
      <c r="AM762">
        <v>23496</v>
      </c>
    </row>
    <row r="763" spans="1:44">
      <c r="A763" s="1">
        <f>HYPERLINK("https://lsnyc.legalserver.org/matter/dynamic-profile/view/1907974","19-1907974")</f>
        <v>0</v>
      </c>
      <c r="B763" t="s">
        <v>47</v>
      </c>
      <c r="C763" t="s">
        <v>193</v>
      </c>
      <c r="E763" t="s">
        <v>414</v>
      </c>
      <c r="F763" t="s">
        <v>1214</v>
      </c>
      <c r="G763" t="s">
        <v>2614</v>
      </c>
      <c r="H763" t="s">
        <v>3155</v>
      </c>
      <c r="I763" t="s">
        <v>3486</v>
      </c>
      <c r="J763">
        <v>11377</v>
      </c>
      <c r="K763" t="s">
        <v>3522</v>
      </c>
      <c r="L763" t="s">
        <v>3525</v>
      </c>
      <c r="M763" t="s">
        <v>3792</v>
      </c>
      <c r="N763" t="s">
        <v>4110</v>
      </c>
      <c r="O763" t="s">
        <v>4137</v>
      </c>
      <c r="Q763" t="s">
        <v>4147</v>
      </c>
      <c r="R763" t="s">
        <v>3522</v>
      </c>
      <c r="T763" t="s">
        <v>4156</v>
      </c>
      <c r="U763" t="s">
        <v>4168</v>
      </c>
      <c r="V763" t="s">
        <v>193</v>
      </c>
      <c r="W763">
        <v>1450</v>
      </c>
      <c r="X763" t="s">
        <v>4192</v>
      </c>
      <c r="Y763" t="s">
        <v>4206</v>
      </c>
      <c r="Z763" t="s">
        <v>4884</v>
      </c>
      <c r="AB763" t="s">
        <v>6234</v>
      </c>
      <c r="AC763">
        <v>67</v>
      </c>
      <c r="AD763" t="s">
        <v>6772</v>
      </c>
      <c r="AE763" t="s">
        <v>3526</v>
      </c>
      <c r="AF763">
        <v>10</v>
      </c>
      <c r="AG763">
        <v>2</v>
      </c>
      <c r="AH763">
        <v>1</v>
      </c>
      <c r="AI763">
        <v>110.17</v>
      </c>
      <c r="AL763" t="s">
        <v>6802</v>
      </c>
      <c r="AM763">
        <v>23500</v>
      </c>
      <c r="AP763" t="s">
        <v>4200</v>
      </c>
    </row>
    <row r="764" spans="1:44">
      <c r="A764" s="1">
        <f>HYPERLINK("https://lsnyc.legalserver.org/matter/dynamic-profile/view/1907976","19-1907976")</f>
        <v>0</v>
      </c>
      <c r="B764" t="s">
        <v>47</v>
      </c>
      <c r="C764" t="s">
        <v>193</v>
      </c>
      <c r="E764" t="s">
        <v>414</v>
      </c>
      <c r="F764" t="s">
        <v>1214</v>
      </c>
      <c r="G764" t="s">
        <v>2614</v>
      </c>
      <c r="H764" t="s">
        <v>3155</v>
      </c>
      <c r="I764" t="s">
        <v>3486</v>
      </c>
      <c r="J764">
        <v>11377</v>
      </c>
      <c r="K764" t="s">
        <v>3522</v>
      </c>
      <c r="L764" t="s">
        <v>3525</v>
      </c>
      <c r="M764" t="s">
        <v>3793</v>
      </c>
      <c r="N764" t="s">
        <v>4110</v>
      </c>
      <c r="O764" t="s">
        <v>4137</v>
      </c>
      <c r="Q764" t="s">
        <v>4147</v>
      </c>
      <c r="R764" t="s">
        <v>3522</v>
      </c>
      <c r="T764" t="s">
        <v>4156</v>
      </c>
      <c r="V764" t="s">
        <v>4183</v>
      </c>
      <c r="W764">
        <v>1450</v>
      </c>
      <c r="X764" t="s">
        <v>4192</v>
      </c>
      <c r="Y764" t="s">
        <v>4206</v>
      </c>
      <c r="Z764" t="s">
        <v>4884</v>
      </c>
      <c r="AB764" t="s">
        <v>6234</v>
      </c>
      <c r="AC764">
        <v>67</v>
      </c>
      <c r="AD764" t="s">
        <v>6772</v>
      </c>
      <c r="AE764" t="s">
        <v>3526</v>
      </c>
      <c r="AF764">
        <v>10</v>
      </c>
      <c r="AG764">
        <v>2</v>
      </c>
      <c r="AH764">
        <v>1</v>
      </c>
      <c r="AI764">
        <v>110.17</v>
      </c>
      <c r="AL764" t="s">
        <v>6802</v>
      </c>
      <c r="AM764">
        <v>23500</v>
      </c>
    </row>
    <row r="765" spans="1:44">
      <c r="A765" s="1">
        <f>HYPERLINK("https://lsnyc.legalserver.org/matter/dynamic-profile/view/1904599","19-1904599")</f>
        <v>0</v>
      </c>
      <c r="B765" t="s">
        <v>92</v>
      </c>
      <c r="C765" t="s">
        <v>261</v>
      </c>
      <c r="E765" t="s">
        <v>450</v>
      </c>
      <c r="F765" t="s">
        <v>1758</v>
      </c>
      <c r="G765" t="s">
        <v>2255</v>
      </c>
      <c r="H765">
        <v>1</v>
      </c>
      <c r="I765" t="s">
        <v>3495</v>
      </c>
      <c r="J765">
        <v>10034</v>
      </c>
      <c r="K765" t="s">
        <v>3522</v>
      </c>
      <c r="L765" t="s">
        <v>3525</v>
      </c>
      <c r="O765" t="s">
        <v>4136</v>
      </c>
      <c r="Q765" t="s">
        <v>4147</v>
      </c>
      <c r="R765" t="s">
        <v>3522</v>
      </c>
      <c r="T765" t="s">
        <v>4156</v>
      </c>
      <c r="V765" t="s">
        <v>261</v>
      </c>
      <c r="W765">
        <v>868.24</v>
      </c>
      <c r="X765" t="s">
        <v>4196</v>
      </c>
      <c r="Y765" t="s">
        <v>4205</v>
      </c>
      <c r="Z765" t="s">
        <v>4885</v>
      </c>
      <c r="AB765" t="s">
        <v>6235</v>
      </c>
      <c r="AC765">
        <v>25</v>
      </c>
      <c r="AD765" t="s">
        <v>6772</v>
      </c>
      <c r="AF765">
        <v>34</v>
      </c>
      <c r="AG765">
        <v>2</v>
      </c>
      <c r="AH765">
        <v>0</v>
      </c>
      <c r="AI765">
        <v>110.85</v>
      </c>
      <c r="AL765" t="s">
        <v>6801</v>
      </c>
      <c r="AM765">
        <v>18744</v>
      </c>
    </row>
    <row r="766" spans="1:44">
      <c r="A766" s="1">
        <f>HYPERLINK("https://lsnyc.legalserver.org/matter/dynamic-profile/view/1904281","19-1904281")</f>
        <v>0</v>
      </c>
      <c r="B766" t="s">
        <v>160</v>
      </c>
      <c r="C766" t="s">
        <v>179</v>
      </c>
      <c r="E766" t="s">
        <v>404</v>
      </c>
      <c r="F766" t="s">
        <v>1759</v>
      </c>
      <c r="G766" t="s">
        <v>2735</v>
      </c>
      <c r="H766" t="s">
        <v>3179</v>
      </c>
      <c r="I766" t="s">
        <v>3490</v>
      </c>
      <c r="J766">
        <v>11212</v>
      </c>
      <c r="K766" t="s">
        <v>3522</v>
      </c>
      <c r="L766" t="s">
        <v>3527</v>
      </c>
      <c r="M766" t="s">
        <v>3864</v>
      </c>
      <c r="N766" t="s">
        <v>4107</v>
      </c>
      <c r="O766" t="s">
        <v>4135</v>
      </c>
      <c r="Q766" t="s">
        <v>4147</v>
      </c>
      <c r="R766" t="s">
        <v>3523</v>
      </c>
      <c r="T766" t="s">
        <v>4156</v>
      </c>
      <c r="U766" t="s">
        <v>4168</v>
      </c>
      <c r="V766" t="s">
        <v>228</v>
      </c>
      <c r="W766">
        <v>1800</v>
      </c>
      <c r="X766" t="s">
        <v>4193</v>
      </c>
      <c r="Y766" t="s">
        <v>4210</v>
      </c>
      <c r="Z766" t="s">
        <v>4886</v>
      </c>
      <c r="AA766" t="s">
        <v>5603</v>
      </c>
      <c r="AB766" t="s">
        <v>6236</v>
      </c>
      <c r="AC766">
        <v>4</v>
      </c>
      <c r="AD766" t="s">
        <v>6771</v>
      </c>
      <c r="AE766" t="s">
        <v>6790</v>
      </c>
      <c r="AF766">
        <v>4</v>
      </c>
      <c r="AG766">
        <v>4</v>
      </c>
      <c r="AH766">
        <v>0</v>
      </c>
      <c r="AI766">
        <v>111.01</v>
      </c>
      <c r="AL766" t="s">
        <v>6801</v>
      </c>
      <c r="AM766">
        <v>28584</v>
      </c>
    </row>
    <row r="767" spans="1:44">
      <c r="A767" s="1">
        <f>HYPERLINK("https://lsnyc.legalserver.org/matter/dynamic-profile/view/1911733","19-1911733")</f>
        <v>0</v>
      </c>
      <c r="B767" t="s">
        <v>55</v>
      </c>
      <c r="C767" t="s">
        <v>194</v>
      </c>
      <c r="E767" t="s">
        <v>763</v>
      </c>
      <c r="F767" t="s">
        <v>1760</v>
      </c>
      <c r="G767" t="s">
        <v>2736</v>
      </c>
      <c r="H767" t="s">
        <v>3158</v>
      </c>
      <c r="I767" t="s">
        <v>3490</v>
      </c>
      <c r="J767">
        <v>11206</v>
      </c>
      <c r="K767" t="s">
        <v>3522</v>
      </c>
      <c r="L767" t="s">
        <v>3525</v>
      </c>
      <c r="M767" t="s">
        <v>3570</v>
      </c>
      <c r="N767" t="s">
        <v>4107</v>
      </c>
      <c r="O767" t="s">
        <v>4136</v>
      </c>
      <c r="Q767" t="s">
        <v>4147</v>
      </c>
      <c r="R767" t="s">
        <v>3523</v>
      </c>
      <c r="T767" t="s">
        <v>4156</v>
      </c>
      <c r="U767" t="s">
        <v>4168</v>
      </c>
      <c r="V767" t="s">
        <v>194</v>
      </c>
      <c r="W767">
        <v>711</v>
      </c>
      <c r="X767" t="s">
        <v>4193</v>
      </c>
      <c r="Y767" t="s">
        <v>4200</v>
      </c>
      <c r="Z767" t="s">
        <v>4887</v>
      </c>
      <c r="AA767" t="s">
        <v>5604</v>
      </c>
      <c r="AB767" t="s">
        <v>6237</v>
      </c>
      <c r="AC767">
        <v>82</v>
      </c>
      <c r="AD767" t="s">
        <v>6772</v>
      </c>
      <c r="AE767" t="s">
        <v>6786</v>
      </c>
      <c r="AF767">
        <v>8</v>
      </c>
      <c r="AG767">
        <v>1</v>
      </c>
      <c r="AH767">
        <v>4</v>
      </c>
      <c r="AI767">
        <v>112.03</v>
      </c>
      <c r="AL767" t="s">
        <v>6801</v>
      </c>
      <c r="AM767">
        <v>33800</v>
      </c>
    </row>
    <row r="768" spans="1:44">
      <c r="A768" s="1">
        <f>HYPERLINK("https://lsnyc.legalserver.org/matter/dynamic-profile/view/1912104","19-1912104")</f>
        <v>0</v>
      </c>
      <c r="B768" t="s">
        <v>55</v>
      </c>
      <c r="C768" t="s">
        <v>333</v>
      </c>
      <c r="D768" t="s">
        <v>213</v>
      </c>
      <c r="E768" t="s">
        <v>763</v>
      </c>
      <c r="F768" t="s">
        <v>1760</v>
      </c>
      <c r="G768" t="s">
        <v>2737</v>
      </c>
      <c r="H768" t="s">
        <v>3158</v>
      </c>
      <c r="I768" t="s">
        <v>3490</v>
      </c>
      <c r="J768">
        <v>11206</v>
      </c>
      <c r="K768" t="s">
        <v>3522</v>
      </c>
      <c r="L768" t="s">
        <v>3525</v>
      </c>
      <c r="M768" t="s">
        <v>3865</v>
      </c>
      <c r="N768" t="s">
        <v>4109</v>
      </c>
      <c r="O768" t="s">
        <v>4134</v>
      </c>
      <c r="P768" t="s">
        <v>4140</v>
      </c>
      <c r="Q768" t="s">
        <v>4147</v>
      </c>
      <c r="R768" t="s">
        <v>3523</v>
      </c>
      <c r="T768" t="s">
        <v>4156</v>
      </c>
      <c r="U768" t="s">
        <v>4168</v>
      </c>
      <c r="V768" t="s">
        <v>194</v>
      </c>
      <c r="W768">
        <v>711</v>
      </c>
      <c r="X768" t="s">
        <v>4193</v>
      </c>
      <c r="Y768" t="s">
        <v>4200</v>
      </c>
      <c r="Z768" t="s">
        <v>4887</v>
      </c>
      <c r="AA768" t="s">
        <v>5488</v>
      </c>
      <c r="AB768" t="s">
        <v>6237</v>
      </c>
      <c r="AC768">
        <v>82</v>
      </c>
      <c r="AD768" t="s">
        <v>6772</v>
      </c>
      <c r="AE768" t="s">
        <v>6786</v>
      </c>
      <c r="AF768">
        <v>8</v>
      </c>
      <c r="AG768">
        <v>1</v>
      </c>
      <c r="AH768">
        <v>4</v>
      </c>
      <c r="AI768">
        <v>112.03</v>
      </c>
      <c r="AL768" t="s">
        <v>6801</v>
      </c>
      <c r="AM768">
        <v>33800</v>
      </c>
    </row>
    <row r="769" spans="1:44">
      <c r="A769" s="1">
        <f>HYPERLINK("https://lsnyc.legalserver.org/matter/dynamic-profile/view/1910707","19-1910707")</f>
        <v>0</v>
      </c>
      <c r="B769" t="s">
        <v>53</v>
      </c>
      <c r="C769" t="s">
        <v>257</v>
      </c>
      <c r="E769" t="s">
        <v>901</v>
      </c>
      <c r="F769" t="s">
        <v>1759</v>
      </c>
      <c r="G769" t="s">
        <v>2187</v>
      </c>
      <c r="H769" t="s">
        <v>3354</v>
      </c>
      <c r="I769" t="s">
        <v>3490</v>
      </c>
      <c r="J769">
        <v>11238</v>
      </c>
      <c r="K769" t="s">
        <v>3522</v>
      </c>
      <c r="L769" t="s">
        <v>3525</v>
      </c>
      <c r="M769" t="s">
        <v>3866</v>
      </c>
      <c r="N769" t="s">
        <v>4109</v>
      </c>
      <c r="O769" t="s">
        <v>4134</v>
      </c>
      <c r="Q769" t="s">
        <v>4147</v>
      </c>
      <c r="R769" t="s">
        <v>3522</v>
      </c>
      <c r="T769" t="s">
        <v>4156</v>
      </c>
      <c r="U769" t="s">
        <v>4168</v>
      </c>
      <c r="V769" t="s">
        <v>318</v>
      </c>
      <c r="W769">
        <v>935.79</v>
      </c>
      <c r="X769" t="s">
        <v>4193</v>
      </c>
      <c r="Y769" t="s">
        <v>4201</v>
      </c>
      <c r="Z769" t="s">
        <v>4220</v>
      </c>
      <c r="AC769">
        <v>38</v>
      </c>
      <c r="AD769" t="s">
        <v>6772</v>
      </c>
      <c r="AF769">
        <v>7</v>
      </c>
      <c r="AG769">
        <v>1</v>
      </c>
      <c r="AH769">
        <v>0</v>
      </c>
      <c r="AI769">
        <v>112.09</v>
      </c>
      <c r="AL769" t="s">
        <v>6801</v>
      </c>
      <c r="AM769">
        <v>14000</v>
      </c>
    </row>
    <row r="770" spans="1:44">
      <c r="A770" s="1">
        <f>HYPERLINK("https://lsnyc.legalserver.org/matter/dynamic-profile/view/1905416","19-1905416")</f>
        <v>0</v>
      </c>
      <c r="B770" t="s">
        <v>83</v>
      </c>
      <c r="C770" t="s">
        <v>266</v>
      </c>
      <c r="D770" t="s">
        <v>206</v>
      </c>
      <c r="E770" t="s">
        <v>857</v>
      </c>
      <c r="F770" t="s">
        <v>1761</v>
      </c>
      <c r="G770" t="s">
        <v>2738</v>
      </c>
      <c r="H770" t="s">
        <v>3315</v>
      </c>
      <c r="I770" t="s">
        <v>3493</v>
      </c>
      <c r="J770">
        <v>10458</v>
      </c>
      <c r="K770" t="s">
        <v>3522</v>
      </c>
      <c r="L770" t="s">
        <v>3525</v>
      </c>
      <c r="N770" t="s">
        <v>3554</v>
      </c>
      <c r="O770" t="s">
        <v>4132</v>
      </c>
      <c r="P770" t="s">
        <v>4139</v>
      </c>
      <c r="Q770" t="s">
        <v>4147</v>
      </c>
      <c r="R770" t="s">
        <v>3523</v>
      </c>
      <c r="T770" t="s">
        <v>4156</v>
      </c>
      <c r="V770" t="s">
        <v>241</v>
      </c>
      <c r="W770">
        <v>2000</v>
      </c>
      <c r="X770" t="s">
        <v>4194</v>
      </c>
      <c r="Y770" t="s">
        <v>4206</v>
      </c>
      <c r="Z770" t="s">
        <v>4888</v>
      </c>
      <c r="AB770" t="s">
        <v>6238</v>
      </c>
      <c r="AC770">
        <v>36</v>
      </c>
      <c r="AD770" t="s">
        <v>6772</v>
      </c>
      <c r="AE770" t="s">
        <v>3526</v>
      </c>
      <c r="AF770">
        <v>1</v>
      </c>
      <c r="AG770">
        <v>1</v>
      </c>
      <c r="AH770">
        <v>0</v>
      </c>
      <c r="AI770">
        <v>112.09</v>
      </c>
      <c r="AM770">
        <v>14000</v>
      </c>
    </row>
    <row r="771" spans="1:44">
      <c r="A771" s="1">
        <f>HYPERLINK("https://lsnyc.legalserver.org/matter/dynamic-profile/view/1912892","19-1912892")</f>
        <v>0</v>
      </c>
      <c r="B771" t="s">
        <v>121</v>
      </c>
      <c r="C771" t="s">
        <v>196</v>
      </c>
      <c r="D771" t="s">
        <v>189</v>
      </c>
      <c r="E771" t="s">
        <v>492</v>
      </c>
      <c r="F771" t="s">
        <v>1762</v>
      </c>
      <c r="G771" t="s">
        <v>2739</v>
      </c>
      <c r="H771" t="s">
        <v>3220</v>
      </c>
      <c r="I771" t="s">
        <v>3495</v>
      </c>
      <c r="J771">
        <v>10128</v>
      </c>
      <c r="K771" t="s">
        <v>3522</v>
      </c>
      <c r="L771" t="s">
        <v>3525</v>
      </c>
      <c r="N771" t="s">
        <v>3554</v>
      </c>
      <c r="O771" t="s">
        <v>4132</v>
      </c>
      <c r="P771" t="s">
        <v>4139</v>
      </c>
      <c r="Q771" t="s">
        <v>4147</v>
      </c>
      <c r="R771" t="s">
        <v>3523</v>
      </c>
      <c r="T771" t="s">
        <v>4156</v>
      </c>
      <c r="U771" t="s">
        <v>4168</v>
      </c>
      <c r="V771" t="s">
        <v>196</v>
      </c>
      <c r="W771">
        <v>1200</v>
      </c>
      <c r="X771" t="s">
        <v>4196</v>
      </c>
      <c r="Y771" t="s">
        <v>4206</v>
      </c>
      <c r="Z771" t="s">
        <v>4889</v>
      </c>
      <c r="AB771" t="s">
        <v>6239</v>
      </c>
      <c r="AC771">
        <v>11</v>
      </c>
      <c r="AD771" t="s">
        <v>5524</v>
      </c>
      <c r="AF771">
        <v>5</v>
      </c>
      <c r="AG771">
        <v>1</v>
      </c>
      <c r="AH771">
        <v>0</v>
      </c>
      <c r="AI771">
        <v>112.09</v>
      </c>
      <c r="AL771" t="s">
        <v>6801</v>
      </c>
      <c r="AM771">
        <v>14000</v>
      </c>
    </row>
    <row r="772" spans="1:44">
      <c r="A772" s="1">
        <f>HYPERLINK("https://lsnyc.legalserver.org/matter/dynamic-profile/view/1913831","19-1913831")</f>
        <v>0</v>
      </c>
      <c r="B772" t="s">
        <v>151</v>
      </c>
      <c r="C772" t="s">
        <v>199</v>
      </c>
      <c r="D772" t="s">
        <v>269</v>
      </c>
      <c r="E772" t="s">
        <v>902</v>
      </c>
      <c r="F772" t="s">
        <v>1763</v>
      </c>
      <c r="G772" t="s">
        <v>2740</v>
      </c>
      <c r="H772" t="s">
        <v>3208</v>
      </c>
      <c r="I772" t="s">
        <v>3488</v>
      </c>
      <c r="J772">
        <v>11354</v>
      </c>
      <c r="K772" t="s">
        <v>3522</v>
      </c>
      <c r="L772" t="s">
        <v>3525</v>
      </c>
      <c r="M772" t="s">
        <v>3867</v>
      </c>
      <c r="N772" t="s">
        <v>4107</v>
      </c>
      <c r="O772" t="s">
        <v>4132</v>
      </c>
      <c r="P772" t="s">
        <v>4139</v>
      </c>
      <c r="Q772" t="s">
        <v>4147</v>
      </c>
      <c r="R772" t="s">
        <v>3523</v>
      </c>
      <c r="T772" t="s">
        <v>4156</v>
      </c>
      <c r="U772" t="s">
        <v>4168</v>
      </c>
      <c r="V772" t="s">
        <v>245</v>
      </c>
      <c r="W772">
        <v>1500</v>
      </c>
      <c r="X772" t="s">
        <v>4192</v>
      </c>
      <c r="Y772" t="s">
        <v>4197</v>
      </c>
      <c r="Z772" t="s">
        <v>4890</v>
      </c>
      <c r="AB772" t="s">
        <v>6240</v>
      </c>
      <c r="AC772">
        <v>3</v>
      </c>
      <c r="AD772" t="s">
        <v>6771</v>
      </c>
      <c r="AE772" t="s">
        <v>3526</v>
      </c>
      <c r="AF772">
        <v>5</v>
      </c>
      <c r="AG772">
        <v>2</v>
      </c>
      <c r="AH772">
        <v>0</v>
      </c>
      <c r="AI772">
        <v>112.36</v>
      </c>
      <c r="AL772" t="s">
        <v>6816</v>
      </c>
      <c r="AM772">
        <v>19000</v>
      </c>
    </row>
    <row r="773" spans="1:44">
      <c r="A773" s="1">
        <f>HYPERLINK("https://lsnyc.legalserver.org/matter/dynamic-profile/view/1916779","19-1916779")</f>
        <v>0</v>
      </c>
      <c r="B773" t="s">
        <v>52</v>
      </c>
      <c r="C773" t="s">
        <v>195</v>
      </c>
      <c r="E773" t="s">
        <v>732</v>
      </c>
      <c r="F773" t="s">
        <v>1764</v>
      </c>
      <c r="G773" t="s">
        <v>2640</v>
      </c>
      <c r="H773" t="s">
        <v>3148</v>
      </c>
      <c r="I773" t="s">
        <v>3490</v>
      </c>
      <c r="J773">
        <v>11220</v>
      </c>
      <c r="K773" t="s">
        <v>3522</v>
      </c>
      <c r="L773" t="s">
        <v>3525</v>
      </c>
      <c r="N773" t="s">
        <v>4115</v>
      </c>
      <c r="O773" t="s">
        <v>4134</v>
      </c>
      <c r="Q773" t="s">
        <v>4147</v>
      </c>
      <c r="R773" t="s">
        <v>3522</v>
      </c>
      <c r="T773" t="s">
        <v>4156</v>
      </c>
      <c r="V773" t="s">
        <v>208</v>
      </c>
      <c r="W773">
        <v>0</v>
      </c>
      <c r="X773" t="s">
        <v>4193</v>
      </c>
      <c r="Z773" t="s">
        <v>4891</v>
      </c>
      <c r="AB773" t="s">
        <v>6241</v>
      </c>
      <c r="AC773">
        <v>54</v>
      </c>
      <c r="AD773" t="s">
        <v>6772</v>
      </c>
      <c r="AF773">
        <v>30</v>
      </c>
      <c r="AG773">
        <v>2</v>
      </c>
      <c r="AH773">
        <v>0</v>
      </c>
      <c r="AI773">
        <v>112.48</v>
      </c>
      <c r="AL773" t="s">
        <v>6801</v>
      </c>
      <c r="AM773">
        <v>19020</v>
      </c>
    </row>
    <row r="774" spans="1:44">
      <c r="A774" s="1">
        <f>HYPERLINK("https://lsnyc.legalserver.org/matter/dynamic-profile/view/1903768","19-1903768")</f>
        <v>0</v>
      </c>
      <c r="B774" t="s">
        <v>147</v>
      </c>
      <c r="C774" t="s">
        <v>336</v>
      </c>
      <c r="D774" t="s">
        <v>200</v>
      </c>
      <c r="E774" t="s">
        <v>903</v>
      </c>
      <c r="F774" t="s">
        <v>1323</v>
      </c>
      <c r="G774" t="s">
        <v>2741</v>
      </c>
      <c r="H774" t="s">
        <v>3146</v>
      </c>
      <c r="I774" t="s">
        <v>3490</v>
      </c>
      <c r="J774">
        <v>11207</v>
      </c>
      <c r="K774" t="s">
        <v>3522</v>
      </c>
      <c r="L774" t="s">
        <v>3527</v>
      </c>
      <c r="M774" t="s">
        <v>3554</v>
      </c>
      <c r="N774" t="s">
        <v>3554</v>
      </c>
      <c r="O774" t="s">
        <v>4135</v>
      </c>
      <c r="P774" t="s">
        <v>4142</v>
      </c>
      <c r="Q774" t="s">
        <v>4147</v>
      </c>
      <c r="R774" t="s">
        <v>3523</v>
      </c>
      <c r="T774" t="s">
        <v>4156</v>
      </c>
      <c r="U774" t="s">
        <v>4168</v>
      </c>
      <c r="V774" t="s">
        <v>336</v>
      </c>
      <c r="W774">
        <v>1515</v>
      </c>
      <c r="X774" t="s">
        <v>4193</v>
      </c>
      <c r="Y774" t="s">
        <v>4201</v>
      </c>
      <c r="Z774" t="s">
        <v>4892</v>
      </c>
      <c r="AA774" t="s">
        <v>5605</v>
      </c>
      <c r="AB774" t="s">
        <v>6242</v>
      </c>
      <c r="AC774">
        <v>4</v>
      </c>
      <c r="AD774" t="s">
        <v>6771</v>
      </c>
      <c r="AE774" t="s">
        <v>6787</v>
      </c>
      <c r="AF774">
        <v>1</v>
      </c>
      <c r="AG774">
        <v>1</v>
      </c>
      <c r="AH774">
        <v>2</v>
      </c>
      <c r="AI774">
        <v>112.52</v>
      </c>
      <c r="AL774" t="s">
        <v>6801</v>
      </c>
      <c r="AM774">
        <v>24000</v>
      </c>
    </row>
    <row r="775" spans="1:44">
      <c r="A775" s="1">
        <f>HYPERLINK("https://lsnyc.legalserver.org/matter/dynamic-profile/view/1907399","19-1907399")</f>
        <v>0</v>
      </c>
      <c r="B775" t="s">
        <v>161</v>
      </c>
      <c r="C775" t="s">
        <v>210</v>
      </c>
      <c r="D775" t="s">
        <v>242</v>
      </c>
      <c r="E775" t="s">
        <v>454</v>
      </c>
      <c r="F775" t="s">
        <v>1765</v>
      </c>
      <c r="G775" t="s">
        <v>2742</v>
      </c>
      <c r="H775" t="s">
        <v>3355</v>
      </c>
      <c r="I775" t="s">
        <v>3495</v>
      </c>
      <c r="J775">
        <v>10032</v>
      </c>
      <c r="K775" t="s">
        <v>3522</v>
      </c>
      <c r="L775" t="s">
        <v>3525</v>
      </c>
      <c r="N775" t="s">
        <v>4116</v>
      </c>
      <c r="O775" t="s">
        <v>4133</v>
      </c>
      <c r="P775" t="s">
        <v>4142</v>
      </c>
      <c r="Q775" t="s">
        <v>4147</v>
      </c>
      <c r="R775" t="s">
        <v>3523</v>
      </c>
      <c r="T775" t="s">
        <v>4156</v>
      </c>
      <c r="U775" t="s">
        <v>4168</v>
      </c>
      <c r="V775" t="s">
        <v>210</v>
      </c>
      <c r="W775">
        <v>0</v>
      </c>
      <c r="X775" t="s">
        <v>4196</v>
      </c>
      <c r="Y775" t="s">
        <v>4211</v>
      </c>
      <c r="Z775" t="s">
        <v>4893</v>
      </c>
      <c r="AB775" t="s">
        <v>6243</v>
      </c>
      <c r="AC775">
        <v>0</v>
      </c>
      <c r="AD775" t="s">
        <v>6772</v>
      </c>
      <c r="AE775" t="s">
        <v>3526</v>
      </c>
      <c r="AF775">
        <v>0</v>
      </c>
      <c r="AG775">
        <v>1</v>
      </c>
      <c r="AH775">
        <v>0</v>
      </c>
      <c r="AI775">
        <v>112.89</v>
      </c>
      <c r="AL775" t="s">
        <v>6801</v>
      </c>
      <c r="AM775">
        <v>14100</v>
      </c>
    </row>
    <row r="776" spans="1:44">
      <c r="A776" s="1">
        <f>HYPERLINK("https://lsnyc.legalserver.org/matter/dynamic-profile/view/1905907","19-1905907")</f>
        <v>0</v>
      </c>
      <c r="B776" t="s">
        <v>97</v>
      </c>
      <c r="C776" t="s">
        <v>228</v>
      </c>
      <c r="E776" t="s">
        <v>904</v>
      </c>
      <c r="F776" t="s">
        <v>1766</v>
      </c>
      <c r="G776" t="s">
        <v>2414</v>
      </c>
      <c r="H776" t="s">
        <v>3146</v>
      </c>
      <c r="I776" t="s">
        <v>3490</v>
      </c>
      <c r="J776">
        <v>11213</v>
      </c>
      <c r="K776" t="s">
        <v>3522</v>
      </c>
      <c r="L776" t="s">
        <v>3525</v>
      </c>
      <c r="M776" t="s">
        <v>3553</v>
      </c>
      <c r="N776" t="s">
        <v>4112</v>
      </c>
      <c r="O776" t="s">
        <v>4135</v>
      </c>
      <c r="Q776" t="s">
        <v>4147</v>
      </c>
      <c r="R776" t="s">
        <v>3522</v>
      </c>
      <c r="T776" t="s">
        <v>4156</v>
      </c>
      <c r="U776" t="s">
        <v>4168</v>
      </c>
      <c r="V776" t="s">
        <v>228</v>
      </c>
      <c r="W776">
        <v>719</v>
      </c>
      <c r="X776" t="s">
        <v>4193</v>
      </c>
      <c r="Y776" t="s">
        <v>4201</v>
      </c>
      <c r="Z776" t="s">
        <v>4894</v>
      </c>
      <c r="AA776" t="s">
        <v>5505</v>
      </c>
      <c r="AB776" t="s">
        <v>6244</v>
      </c>
      <c r="AC776">
        <v>6</v>
      </c>
      <c r="AD776" t="s">
        <v>6772</v>
      </c>
      <c r="AE776" t="s">
        <v>6787</v>
      </c>
      <c r="AF776">
        <v>22</v>
      </c>
      <c r="AG776">
        <v>5</v>
      </c>
      <c r="AH776">
        <v>1</v>
      </c>
      <c r="AI776">
        <v>112.94</v>
      </c>
      <c r="AL776" t="s">
        <v>6801</v>
      </c>
      <c r="AM776">
        <v>39066</v>
      </c>
      <c r="AN776" t="s">
        <v>6857</v>
      </c>
    </row>
    <row r="777" spans="1:44">
      <c r="A777" s="1">
        <f>HYPERLINK("https://lsnyc.legalserver.org/matter/dynamic-profile/view/1908544","19-1908544")</f>
        <v>0</v>
      </c>
      <c r="B777" t="s">
        <v>89</v>
      </c>
      <c r="C777" t="s">
        <v>224</v>
      </c>
      <c r="E777" t="s">
        <v>857</v>
      </c>
      <c r="F777" t="s">
        <v>1767</v>
      </c>
      <c r="G777" t="s">
        <v>2743</v>
      </c>
      <c r="H777" t="s">
        <v>3157</v>
      </c>
      <c r="I777" t="s">
        <v>3495</v>
      </c>
      <c r="J777">
        <v>10027</v>
      </c>
      <c r="K777" t="s">
        <v>3522</v>
      </c>
      <c r="L777" t="s">
        <v>3525</v>
      </c>
      <c r="N777" t="s">
        <v>3554</v>
      </c>
      <c r="O777" t="s">
        <v>4132</v>
      </c>
      <c r="Q777" t="s">
        <v>4147</v>
      </c>
      <c r="R777" t="s">
        <v>3523</v>
      </c>
      <c r="T777" t="s">
        <v>4156</v>
      </c>
      <c r="V777" t="s">
        <v>224</v>
      </c>
      <c r="W777">
        <v>433.33</v>
      </c>
      <c r="X777" t="s">
        <v>4196</v>
      </c>
      <c r="Y777" t="s">
        <v>4206</v>
      </c>
      <c r="Z777" t="s">
        <v>4895</v>
      </c>
      <c r="AB777" t="s">
        <v>6245</v>
      </c>
      <c r="AC777">
        <v>23</v>
      </c>
      <c r="AD777" t="s">
        <v>6772</v>
      </c>
      <c r="AE777" t="s">
        <v>3526</v>
      </c>
      <c r="AF777">
        <v>0</v>
      </c>
      <c r="AG777">
        <v>1</v>
      </c>
      <c r="AH777">
        <v>0</v>
      </c>
      <c r="AI777">
        <v>113.07</v>
      </c>
      <c r="AM777">
        <v>14122.8</v>
      </c>
    </row>
    <row r="778" spans="1:44">
      <c r="A778" s="1">
        <f>HYPERLINK("https://lsnyc.legalserver.org/matter/dynamic-profile/view/1913749","19-1913749")</f>
        <v>0</v>
      </c>
      <c r="B778" t="s">
        <v>88</v>
      </c>
      <c r="C778" t="s">
        <v>238</v>
      </c>
      <c r="E778" t="s">
        <v>857</v>
      </c>
      <c r="F778" t="s">
        <v>1767</v>
      </c>
      <c r="G778" t="s">
        <v>2743</v>
      </c>
      <c r="H778" t="s">
        <v>3157</v>
      </c>
      <c r="I778" t="s">
        <v>3495</v>
      </c>
      <c r="J778">
        <v>10027</v>
      </c>
      <c r="K778" t="s">
        <v>3522</v>
      </c>
      <c r="L778" t="s">
        <v>3525</v>
      </c>
      <c r="N778" t="s">
        <v>4116</v>
      </c>
      <c r="O778" t="s">
        <v>4135</v>
      </c>
      <c r="Q778" t="s">
        <v>4147</v>
      </c>
      <c r="R778" t="s">
        <v>3523</v>
      </c>
      <c r="T778" t="s">
        <v>4156</v>
      </c>
      <c r="V778" t="s">
        <v>238</v>
      </c>
      <c r="W778">
        <v>433.33</v>
      </c>
      <c r="X778" t="s">
        <v>4196</v>
      </c>
      <c r="Y778" t="s">
        <v>4201</v>
      </c>
      <c r="Z778" t="s">
        <v>4895</v>
      </c>
      <c r="AB778" t="s">
        <v>6245</v>
      </c>
      <c r="AC778">
        <v>23</v>
      </c>
      <c r="AD778" t="s">
        <v>6772</v>
      </c>
      <c r="AE778" t="s">
        <v>6791</v>
      </c>
      <c r="AF778">
        <v>0</v>
      </c>
      <c r="AG778">
        <v>1</v>
      </c>
      <c r="AH778">
        <v>0</v>
      </c>
      <c r="AI778">
        <v>113.07</v>
      </c>
      <c r="AM778">
        <v>14122.8</v>
      </c>
    </row>
    <row r="779" spans="1:44">
      <c r="A779" s="1">
        <f>HYPERLINK("https://lsnyc.legalserver.org/matter/dynamic-profile/view/1890810","19-1890810")</f>
        <v>0</v>
      </c>
      <c r="B779" t="s">
        <v>65</v>
      </c>
      <c r="C779" t="s">
        <v>342</v>
      </c>
      <c r="D779" t="s">
        <v>385</v>
      </c>
      <c r="E779" t="s">
        <v>905</v>
      </c>
      <c r="F779" t="s">
        <v>1768</v>
      </c>
      <c r="G779" t="s">
        <v>2744</v>
      </c>
      <c r="H779" t="s">
        <v>3356</v>
      </c>
      <c r="I779" t="s">
        <v>3490</v>
      </c>
      <c r="J779">
        <v>11235</v>
      </c>
      <c r="K779" t="s">
        <v>3522</v>
      </c>
      <c r="L779" t="s">
        <v>3525</v>
      </c>
      <c r="N779" t="s">
        <v>4116</v>
      </c>
      <c r="O779" t="s">
        <v>4133</v>
      </c>
      <c r="P779" t="s">
        <v>4146</v>
      </c>
      <c r="Q779" t="s">
        <v>4147</v>
      </c>
      <c r="R779" t="s">
        <v>3523</v>
      </c>
      <c r="T779" t="s">
        <v>4156</v>
      </c>
      <c r="V779" t="s">
        <v>246</v>
      </c>
      <c r="W779">
        <v>930</v>
      </c>
      <c r="X779" t="s">
        <v>4193</v>
      </c>
      <c r="Z779" t="s">
        <v>4896</v>
      </c>
      <c r="AB779" t="s">
        <v>6246</v>
      </c>
      <c r="AC779">
        <v>144</v>
      </c>
      <c r="AF779">
        <v>0</v>
      </c>
      <c r="AG779">
        <v>2</v>
      </c>
      <c r="AH779">
        <v>0</v>
      </c>
      <c r="AI779">
        <v>113.54</v>
      </c>
      <c r="AL779" t="s">
        <v>6801</v>
      </c>
      <c r="AM779">
        <v>19200</v>
      </c>
      <c r="AN779" t="s">
        <v>6858</v>
      </c>
    </row>
    <row r="780" spans="1:44">
      <c r="A780" s="1">
        <f>HYPERLINK("https://lsnyc.legalserver.org/matter/dynamic-profile/view/1910651","19-1910651")</f>
        <v>0</v>
      </c>
      <c r="B780" t="s">
        <v>120</v>
      </c>
      <c r="C780" t="s">
        <v>215</v>
      </c>
      <c r="D780" t="s">
        <v>182</v>
      </c>
      <c r="E780" t="s">
        <v>906</v>
      </c>
      <c r="F780" t="s">
        <v>1769</v>
      </c>
      <c r="G780" t="s">
        <v>2745</v>
      </c>
      <c r="I780" t="s">
        <v>3494</v>
      </c>
      <c r="J780">
        <v>10304</v>
      </c>
      <c r="K780" t="s">
        <v>3522</v>
      </c>
      <c r="L780" t="s">
        <v>3525</v>
      </c>
      <c r="M780" t="s">
        <v>3868</v>
      </c>
      <c r="N780" t="s">
        <v>4107</v>
      </c>
      <c r="O780" t="s">
        <v>4132</v>
      </c>
      <c r="P780" t="s">
        <v>4139</v>
      </c>
      <c r="Q780" t="s">
        <v>4147</v>
      </c>
      <c r="R780" t="s">
        <v>3523</v>
      </c>
      <c r="T780" t="s">
        <v>4156</v>
      </c>
      <c r="U780" t="s">
        <v>4168</v>
      </c>
      <c r="V780" t="s">
        <v>215</v>
      </c>
      <c r="W780">
        <v>0</v>
      </c>
      <c r="X780" t="s">
        <v>4195</v>
      </c>
      <c r="Y780" t="s">
        <v>4201</v>
      </c>
      <c r="Z780" t="s">
        <v>4897</v>
      </c>
      <c r="AB780" t="s">
        <v>6247</v>
      </c>
      <c r="AC780">
        <v>1</v>
      </c>
      <c r="AD780" t="s">
        <v>6771</v>
      </c>
      <c r="AE780" t="s">
        <v>3526</v>
      </c>
      <c r="AF780">
        <v>23</v>
      </c>
      <c r="AG780">
        <v>1</v>
      </c>
      <c r="AH780">
        <v>1</v>
      </c>
      <c r="AI780">
        <v>113.54</v>
      </c>
      <c r="AL780" t="s">
        <v>6801</v>
      </c>
      <c r="AM780">
        <v>19200</v>
      </c>
      <c r="AQ780" t="s">
        <v>6946</v>
      </c>
      <c r="AR780" t="s">
        <v>6997</v>
      </c>
    </row>
    <row r="781" spans="1:44">
      <c r="A781" s="1">
        <f>HYPERLINK("https://lsnyc.legalserver.org/matter/dynamic-profile/view/1914147","19-1914147")</f>
        <v>0</v>
      </c>
      <c r="B781" t="s">
        <v>91</v>
      </c>
      <c r="C781" t="s">
        <v>191</v>
      </c>
      <c r="E781" t="s">
        <v>907</v>
      </c>
      <c r="F781" t="s">
        <v>1323</v>
      </c>
      <c r="G781" t="s">
        <v>2612</v>
      </c>
      <c r="H781" t="s">
        <v>3357</v>
      </c>
      <c r="I781" t="s">
        <v>3495</v>
      </c>
      <c r="J781">
        <v>10037</v>
      </c>
      <c r="K781" t="s">
        <v>3522</v>
      </c>
      <c r="L781" t="s">
        <v>3525</v>
      </c>
      <c r="N781" t="s">
        <v>4108</v>
      </c>
      <c r="O781" t="s">
        <v>4136</v>
      </c>
      <c r="Q781" t="s">
        <v>4147</v>
      </c>
      <c r="R781" t="s">
        <v>3522</v>
      </c>
      <c r="T781" t="s">
        <v>4156</v>
      </c>
      <c r="U781" t="s">
        <v>4168</v>
      </c>
      <c r="V781" t="s">
        <v>199</v>
      </c>
      <c r="W781">
        <v>1000</v>
      </c>
      <c r="X781" t="s">
        <v>4196</v>
      </c>
      <c r="Y781" t="s">
        <v>4198</v>
      </c>
      <c r="Z781" t="s">
        <v>4898</v>
      </c>
      <c r="AB781" t="s">
        <v>6248</v>
      </c>
      <c r="AC781">
        <v>259</v>
      </c>
      <c r="AD781" t="s">
        <v>6772</v>
      </c>
      <c r="AE781" t="s">
        <v>3526</v>
      </c>
      <c r="AF781">
        <v>33</v>
      </c>
      <c r="AG781">
        <v>2</v>
      </c>
      <c r="AH781">
        <v>0</v>
      </c>
      <c r="AI781">
        <v>113.54</v>
      </c>
      <c r="AL781" t="s">
        <v>6801</v>
      </c>
      <c r="AM781">
        <v>19200</v>
      </c>
    </row>
    <row r="782" spans="1:44">
      <c r="A782" s="1">
        <f>HYPERLINK("https://lsnyc.legalserver.org/matter/dynamic-profile/view/1916906","19-1916906")</f>
        <v>0</v>
      </c>
      <c r="B782" t="s">
        <v>89</v>
      </c>
      <c r="C782" t="s">
        <v>189</v>
      </c>
      <c r="E782" t="s">
        <v>908</v>
      </c>
      <c r="F782" t="s">
        <v>1770</v>
      </c>
      <c r="G782" t="s">
        <v>2746</v>
      </c>
      <c r="H782" t="s">
        <v>3253</v>
      </c>
      <c r="I782" t="s">
        <v>3495</v>
      </c>
      <c r="J782">
        <v>10034</v>
      </c>
      <c r="K782" t="s">
        <v>3522</v>
      </c>
      <c r="L782" t="s">
        <v>3525</v>
      </c>
      <c r="O782" t="s">
        <v>4136</v>
      </c>
      <c r="Q782" t="s">
        <v>4147</v>
      </c>
      <c r="R782" t="s">
        <v>3523</v>
      </c>
      <c r="T782" t="s">
        <v>4156</v>
      </c>
      <c r="V782" t="s">
        <v>189</v>
      </c>
      <c r="W782">
        <v>2075</v>
      </c>
      <c r="X782" t="s">
        <v>4196</v>
      </c>
      <c r="Y782" t="s">
        <v>4198</v>
      </c>
      <c r="Z782" t="s">
        <v>4899</v>
      </c>
      <c r="AC782">
        <v>94</v>
      </c>
      <c r="AD782" t="s">
        <v>6772</v>
      </c>
      <c r="AE782" t="s">
        <v>3526</v>
      </c>
      <c r="AF782">
        <v>7</v>
      </c>
      <c r="AG782">
        <v>1</v>
      </c>
      <c r="AH782">
        <v>1</v>
      </c>
      <c r="AI782">
        <v>113.54</v>
      </c>
      <c r="AL782" t="s">
        <v>6801</v>
      </c>
      <c r="AM782">
        <v>19200</v>
      </c>
    </row>
    <row r="783" spans="1:44">
      <c r="A783" s="1">
        <f>HYPERLINK("https://lsnyc.legalserver.org/matter/dynamic-profile/view/1904720","19-1904720")</f>
        <v>0</v>
      </c>
      <c r="B783" t="s">
        <v>108</v>
      </c>
      <c r="C783" t="s">
        <v>246</v>
      </c>
      <c r="D783" t="s">
        <v>344</v>
      </c>
      <c r="E783" t="s">
        <v>433</v>
      </c>
      <c r="F783" t="s">
        <v>1615</v>
      </c>
      <c r="G783" t="s">
        <v>2341</v>
      </c>
      <c r="H783" t="s">
        <v>3203</v>
      </c>
      <c r="I783" t="s">
        <v>3479</v>
      </c>
      <c r="J783">
        <v>11691</v>
      </c>
      <c r="K783" t="s">
        <v>3522</v>
      </c>
      <c r="L783" t="s">
        <v>3527</v>
      </c>
      <c r="M783" t="s">
        <v>3869</v>
      </c>
      <c r="N783" t="s">
        <v>4109</v>
      </c>
      <c r="O783" t="s">
        <v>4134</v>
      </c>
      <c r="P783" t="s">
        <v>4140</v>
      </c>
      <c r="Q783" t="s">
        <v>4147</v>
      </c>
      <c r="R783" t="s">
        <v>3523</v>
      </c>
      <c r="T783" t="s">
        <v>4156</v>
      </c>
      <c r="U783" t="s">
        <v>4169</v>
      </c>
      <c r="V783" t="s">
        <v>246</v>
      </c>
      <c r="W783">
        <v>327</v>
      </c>
      <c r="X783" t="s">
        <v>4192</v>
      </c>
      <c r="Y783" t="s">
        <v>4201</v>
      </c>
      <c r="Z783" t="s">
        <v>4900</v>
      </c>
      <c r="AA783" t="s">
        <v>5606</v>
      </c>
      <c r="AB783" t="s">
        <v>6249</v>
      </c>
      <c r="AC783">
        <v>462</v>
      </c>
      <c r="AD783" t="s">
        <v>6775</v>
      </c>
      <c r="AE783" t="s">
        <v>3526</v>
      </c>
      <c r="AF783">
        <v>20</v>
      </c>
      <c r="AG783">
        <v>1</v>
      </c>
      <c r="AH783">
        <v>0</v>
      </c>
      <c r="AI783">
        <v>114.24</v>
      </c>
      <c r="AL783" t="s">
        <v>6801</v>
      </c>
      <c r="AM783">
        <v>14268</v>
      </c>
      <c r="AO783" t="s">
        <v>6920</v>
      </c>
      <c r="AP783" t="s">
        <v>6924</v>
      </c>
      <c r="AQ783" t="s">
        <v>6945</v>
      </c>
      <c r="AR783" t="s">
        <v>6998</v>
      </c>
    </row>
    <row r="784" spans="1:44">
      <c r="A784" s="1">
        <f>HYPERLINK("https://lsnyc.legalserver.org/matter/dynamic-profile/view/1911491","19-1911491")</f>
        <v>0</v>
      </c>
      <c r="B784" t="s">
        <v>123</v>
      </c>
      <c r="C784" t="s">
        <v>215</v>
      </c>
      <c r="E784" t="s">
        <v>909</v>
      </c>
      <c r="F784" t="s">
        <v>1771</v>
      </c>
      <c r="G784" t="s">
        <v>2454</v>
      </c>
      <c r="H784" t="s">
        <v>3242</v>
      </c>
      <c r="I784" t="s">
        <v>3495</v>
      </c>
      <c r="J784">
        <v>10040</v>
      </c>
      <c r="K784" t="s">
        <v>3522</v>
      </c>
      <c r="L784" t="s">
        <v>3525</v>
      </c>
      <c r="N784" t="s">
        <v>4115</v>
      </c>
      <c r="O784" t="s">
        <v>4134</v>
      </c>
      <c r="Q784" t="s">
        <v>4147</v>
      </c>
      <c r="R784" t="s">
        <v>3522</v>
      </c>
      <c r="T784" t="s">
        <v>4156</v>
      </c>
      <c r="V784" t="s">
        <v>215</v>
      </c>
      <c r="W784">
        <v>1230.2</v>
      </c>
      <c r="X784" t="s">
        <v>4196</v>
      </c>
      <c r="Y784" t="s">
        <v>4201</v>
      </c>
      <c r="Z784" t="s">
        <v>4901</v>
      </c>
      <c r="AB784" t="s">
        <v>6250</v>
      </c>
      <c r="AC784">
        <v>44</v>
      </c>
      <c r="AD784" t="s">
        <v>6772</v>
      </c>
      <c r="AE784" t="s">
        <v>6786</v>
      </c>
      <c r="AF784">
        <v>23</v>
      </c>
      <c r="AG784">
        <v>1</v>
      </c>
      <c r="AH784">
        <v>0</v>
      </c>
      <c r="AI784">
        <v>114.43</v>
      </c>
      <c r="AL784" t="s">
        <v>6802</v>
      </c>
      <c r="AM784">
        <v>14292</v>
      </c>
    </row>
    <row r="785" spans="1:44">
      <c r="A785" s="1">
        <f>HYPERLINK("https://lsnyc.legalserver.org/matter/dynamic-profile/view/1911593","19-1911593")</f>
        <v>0</v>
      </c>
      <c r="B785" t="s">
        <v>123</v>
      </c>
      <c r="C785" t="s">
        <v>291</v>
      </c>
      <c r="E785" t="s">
        <v>909</v>
      </c>
      <c r="F785" t="s">
        <v>1771</v>
      </c>
      <c r="G785" t="s">
        <v>2454</v>
      </c>
      <c r="H785" t="s">
        <v>3242</v>
      </c>
      <c r="I785" t="s">
        <v>3495</v>
      </c>
      <c r="J785">
        <v>10040</v>
      </c>
      <c r="K785" t="s">
        <v>3522</v>
      </c>
      <c r="L785" t="s">
        <v>3525</v>
      </c>
      <c r="N785" t="s">
        <v>4110</v>
      </c>
      <c r="O785" t="s">
        <v>4134</v>
      </c>
      <c r="Q785" t="s">
        <v>4147</v>
      </c>
      <c r="R785" t="s">
        <v>3522</v>
      </c>
      <c r="T785" t="s">
        <v>4156</v>
      </c>
      <c r="V785" t="s">
        <v>291</v>
      </c>
      <c r="W785">
        <v>1230.4</v>
      </c>
      <c r="X785" t="s">
        <v>4196</v>
      </c>
      <c r="Y785" t="s">
        <v>4201</v>
      </c>
      <c r="Z785" t="s">
        <v>4901</v>
      </c>
      <c r="AB785" t="s">
        <v>6250</v>
      </c>
      <c r="AC785">
        <v>44</v>
      </c>
      <c r="AD785" t="s">
        <v>6772</v>
      </c>
      <c r="AE785" t="s">
        <v>6786</v>
      </c>
      <c r="AF785">
        <v>23</v>
      </c>
      <c r="AG785">
        <v>1</v>
      </c>
      <c r="AH785">
        <v>0</v>
      </c>
      <c r="AI785">
        <v>114.43</v>
      </c>
      <c r="AL785" t="s">
        <v>6802</v>
      </c>
      <c r="AM785">
        <v>14292</v>
      </c>
    </row>
    <row r="786" spans="1:44">
      <c r="A786" s="1">
        <f>HYPERLINK("https://lsnyc.legalserver.org/matter/dynamic-profile/view/1912423","19-1912423")</f>
        <v>0</v>
      </c>
      <c r="B786" t="s">
        <v>123</v>
      </c>
      <c r="C786" t="s">
        <v>295</v>
      </c>
      <c r="D786" t="s">
        <v>258</v>
      </c>
      <c r="E786" t="s">
        <v>909</v>
      </c>
      <c r="F786" t="s">
        <v>1771</v>
      </c>
      <c r="G786" t="s">
        <v>2454</v>
      </c>
      <c r="H786" t="s">
        <v>3242</v>
      </c>
      <c r="I786" t="s">
        <v>3495</v>
      </c>
      <c r="J786">
        <v>10040</v>
      </c>
      <c r="K786" t="s">
        <v>3522</v>
      </c>
      <c r="L786" t="s">
        <v>3525</v>
      </c>
      <c r="M786" t="s">
        <v>3675</v>
      </c>
      <c r="N786" t="s">
        <v>4110</v>
      </c>
      <c r="O786" t="s">
        <v>4137</v>
      </c>
      <c r="P786" t="s">
        <v>4145</v>
      </c>
      <c r="Q786" t="s">
        <v>4147</v>
      </c>
      <c r="R786" t="s">
        <v>3522</v>
      </c>
      <c r="T786" t="s">
        <v>4156</v>
      </c>
      <c r="V786" t="s">
        <v>295</v>
      </c>
      <c r="W786">
        <v>1230.4</v>
      </c>
      <c r="X786" t="s">
        <v>4196</v>
      </c>
      <c r="Y786" t="s">
        <v>4201</v>
      </c>
      <c r="Z786" t="s">
        <v>4901</v>
      </c>
      <c r="AB786" t="s">
        <v>6250</v>
      </c>
      <c r="AC786">
        <v>44</v>
      </c>
      <c r="AD786" t="s">
        <v>6772</v>
      </c>
      <c r="AE786" t="s">
        <v>6786</v>
      </c>
      <c r="AF786">
        <v>23</v>
      </c>
      <c r="AG786">
        <v>1</v>
      </c>
      <c r="AH786">
        <v>0</v>
      </c>
      <c r="AI786">
        <v>114.43</v>
      </c>
      <c r="AL786" t="s">
        <v>6802</v>
      </c>
      <c r="AM786">
        <v>14292</v>
      </c>
    </row>
    <row r="787" spans="1:44">
      <c r="A787" s="1">
        <f>HYPERLINK("https://lsnyc.legalserver.org/matter/dynamic-profile/view/1916434","19-1916434")</f>
        <v>0</v>
      </c>
      <c r="B787" t="s">
        <v>87</v>
      </c>
      <c r="C787" t="s">
        <v>223</v>
      </c>
      <c r="E787" t="s">
        <v>521</v>
      </c>
      <c r="F787" t="s">
        <v>1772</v>
      </c>
      <c r="G787" t="s">
        <v>2244</v>
      </c>
      <c r="H787" t="s">
        <v>3170</v>
      </c>
      <c r="I787" t="s">
        <v>3495</v>
      </c>
      <c r="J787">
        <v>10040</v>
      </c>
      <c r="K787" t="s">
        <v>3522</v>
      </c>
      <c r="L787" t="s">
        <v>3525</v>
      </c>
      <c r="N787" t="s">
        <v>4108</v>
      </c>
      <c r="O787" t="s">
        <v>4134</v>
      </c>
      <c r="Q787" t="s">
        <v>4147</v>
      </c>
      <c r="R787" t="s">
        <v>3522</v>
      </c>
      <c r="T787" t="s">
        <v>4156</v>
      </c>
      <c r="V787" t="s">
        <v>223</v>
      </c>
      <c r="W787">
        <v>862</v>
      </c>
      <c r="X787" t="s">
        <v>4196</v>
      </c>
      <c r="Y787" t="s">
        <v>4201</v>
      </c>
      <c r="Z787" t="s">
        <v>4902</v>
      </c>
      <c r="AB787" t="s">
        <v>6251</v>
      </c>
      <c r="AC787">
        <v>42</v>
      </c>
      <c r="AD787" t="s">
        <v>6772</v>
      </c>
      <c r="AE787" t="s">
        <v>6786</v>
      </c>
      <c r="AF787">
        <v>41</v>
      </c>
      <c r="AG787">
        <v>2</v>
      </c>
      <c r="AH787">
        <v>0</v>
      </c>
      <c r="AI787">
        <v>115.17</v>
      </c>
      <c r="AL787" t="s">
        <v>6802</v>
      </c>
      <c r="AM787">
        <v>19476</v>
      </c>
    </row>
    <row r="788" spans="1:44">
      <c r="A788" s="1">
        <f>HYPERLINK("https://lsnyc.legalserver.org/matter/dynamic-profile/view/1915146","19-1915146")</f>
        <v>0</v>
      </c>
      <c r="B788" t="s">
        <v>108</v>
      </c>
      <c r="C788" t="s">
        <v>182</v>
      </c>
      <c r="E788" t="s">
        <v>910</v>
      </c>
      <c r="F788" t="s">
        <v>1773</v>
      </c>
      <c r="G788" t="s">
        <v>2747</v>
      </c>
      <c r="H788" t="s">
        <v>3358</v>
      </c>
      <c r="I788" t="s">
        <v>3487</v>
      </c>
      <c r="J788">
        <v>11368</v>
      </c>
      <c r="K788" t="s">
        <v>3522</v>
      </c>
      <c r="L788" t="s">
        <v>3525</v>
      </c>
      <c r="M788" t="s">
        <v>3870</v>
      </c>
      <c r="N788" t="s">
        <v>4109</v>
      </c>
      <c r="O788" t="s">
        <v>4132</v>
      </c>
      <c r="Q788" t="s">
        <v>4147</v>
      </c>
      <c r="R788" t="s">
        <v>3523</v>
      </c>
      <c r="T788" t="s">
        <v>4156</v>
      </c>
      <c r="U788" t="s">
        <v>4168</v>
      </c>
      <c r="V788" t="s">
        <v>182</v>
      </c>
      <c r="W788">
        <v>1437</v>
      </c>
      <c r="X788" t="s">
        <v>4192</v>
      </c>
      <c r="Y788" t="s">
        <v>4197</v>
      </c>
      <c r="Z788" t="s">
        <v>4903</v>
      </c>
      <c r="AA788" t="s">
        <v>5607</v>
      </c>
      <c r="AB788" t="s">
        <v>6252</v>
      </c>
      <c r="AC788">
        <v>222</v>
      </c>
      <c r="AD788" t="s">
        <v>5524</v>
      </c>
      <c r="AE788" t="s">
        <v>3526</v>
      </c>
      <c r="AF788">
        <v>5</v>
      </c>
      <c r="AG788">
        <v>1</v>
      </c>
      <c r="AH788">
        <v>0</v>
      </c>
      <c r="AI788">
        <v>115.29</v>
      </c>
      <c r="AL788" t="s">
        <v>6819</v>
      </c>
      <c r="AM788">
        <v>14400</v>
      </c>
    </row>
    <row r="789" spans="1:44">
      <c r="A789" s="1">
        <f>HYPERLINK("https://lsnyc.legalserver.org/matter/dynamic-profile/view/1903687","19-1903687")</f>
        <v>0</v>
      </c>
      <c r="B789" t="s">
        <v>120</v>
      </c>
      <c r="C789" t="s">
        <v>286</v>
      </c>
      <c r="D789" t="s">
        <v>267</v>
      </c>
      <c r="E789" t="s">
        <v>911</v>
      </c>
      <c r="F789" t="s">
        <v>1774</v>
      </c>
      <c r="G789" t="s">
        <v>2390</v>
      </c>
      <c r="H789" t="s">
        <v>3359</v>
      </c>
      <c r="I789" t="s">
        <v>3494</v>
      </c>
      <c r="J789">
        <v>10314</v>
      </c>
      <c r="K789" t="s">
        <v>3522</v>
      </c>
      <c r="L789" t="s">
        <v>3525</v>
      </c>
      <c r="M789" t="s">
        <v>3661</v>
      </c>
      <c r="N789" t="s">
        <v>4110</v>
      </c>
      <c r="O789" t="s">
        <v>4137</v>
      </c>
      <c r="P789" t="s">
        <v>4145</v>
      </c>
      <c r="Q789" t="s">
        <v>4147</v>
      </c>
      <c r="R789" t="s">
        <v>3522</v>
      </c>
      <c r="T789" t="s">
        <v>4156</v>
      </c>
      <c r="U789" t="s">
        <v>4168</v>
      </c>
      <c r="V789" t="s">
        <v>336</v>
      </c>
      <c r="W789">
        <v>871</v>
      </c>
      <c r="X789" t="s">
        <v>4195</v>
      </c>
      <c r="Y789" t="s">
        <v>4201</v>
      </c>
      <c r="Z789" t="s">
        <v>4904</v>
      </c>
      <c r="AB789" t="s">
        <v>6253</v>
      </c>
      <c r="AC789">
        <v>96</v>
      </c>
      <c r="AD789" t="s">
        <v>6772</v>
      </c>
      <c r="AE789" t="s">
        <v>6791</v>
      </c>
      <c r="AF789">
        <v>4</v>
      </c>
      <c r="AG789">
        <v>1</v>
      </c>
      <c r="AH789">
        <v>0</v>
      </c>
      <c r="AI789">
        <v>115.29</v>
      </c>
      <c r="AL789" t="s">
        <v>6802</v>
      </c>
      <c r="AM789">
        <v>14400</v>
      </c>
      <c r="AO789" t="s">
        <v>6920</v>
      </c>
      <c r="AP789" t="s">
        <v>6929</v>
      </c>
      <c r="AQ789" t="s">
        <v>6945</v>
      </c>
      <c r="AR789" t="s">
        <v>6967</v>
      </c>
    </row>
    <row r="790" spans="1:44">
      <c r="A790" s="1">
        <f>HYPERLINK("https://lsnyc.legalserver.org/matter/dynamic-profile/view/1906222","19-1906222")</f>
        <v>0</v>
      </c>
      <c r="B790" t="s">
        <v>92</v>
      </c>
      <c r="C790" t="s">
        <v>188</v>
      </c>
      <c r="D790" t="s">
        <v>243</v>
      </c>
      <c r="E790" t="s">
        <v>912</v>
      </c>
      <c r="F790" t="s">
        <v>1775</v>
      </c>
      <c r="G790" t="s">
        <v>2748</v>
      </c>
      <c r="H790" t="s">
        <v>3309</v>
      </c>
      <c r="I790" t="s">
        <v>3495</v>
      </c>
      <c r="J790">
        <v>10040</v>
      </c>
      <c r="K790" t="s">
        <v>3522</v>
      </c>
      <c r="L790" t="s">
        <v>3525</v>
      </c>
      <c r="O790" t="s">
        <v>4132</v>
      </c>
      <c r="P790" t="s">
        <v>4139</v>
      </c>
      <c r="Q790" t="s">
        <v>4147</v>
      </c>
      <c r="R790" t="s">
        <v>3523</v>
      </c>
      <c r="T790" t="s">
        <v>4156</v>
      </c>
      <c r="U790" t="s">
        <v>4168</v>
      </c>
      <c r="V790" t="s">
        <v>188</v>
      </c>
      <c r="W790">
        <v>1197</v>
      </c>
      <c r="X790" t="s">
        <v>4196</v>
      </c>
      <c r="Y790" t="s">
        <v>4205</v>
      </c>
      <c r="Z790" t="s">
        <v>4905</v>
      </c>
      <c r="AB790" t="s">
        <v>6254</v>
      </c>
      <c r="AC790">
        <v>73</v>
      </c>
      <c r="AD790" t="s">
        <v>6772</v>
      </c>
      <c r="AE790" t="s">
        <v>3526</v>
      </c>
      <c r="AF790">
        <v>40</v>
      </c>
      <c r="AG790">
        <v>1</v>
      </c>
      <c r="AH790">
        <v>0</v>
      </c>
      <c r="AI790">
        <v>115.29</v>
      </c>
      <c r="AL790" t="s">
        <v>6801</v>
      </c>
      <c r="AM790">
        <v>14400</v>
      </c>
    </row>
    <row r="791" spans="1:44">
      <c r="A791" s="1">
        <f>HYPERLINK("https://lsnyc.legalserver.org/matter/dynamic-profile/view/1911001","19-1911001")</f>
        <v>0</v>
      </c>
      <c r="B791" t="s">
        <v>154</v>
      </c>
      <c r="C791" t="s">
        <v>270</v>
      </c>
      <c r="E791" t="s">
        <v>429</v>
      </c>
      <c r="F791" t="s">
        <v>1283</v>
      </c>
      <c r="G791" t="s">
        <v>2749</v>
      </c>
      <c r="H791" t="s">
        <v>3170</v>
      </c>
      <c r="I791" t="s">
        <v>3495</v>
      </c>
      <c r="J791">
        <v>10029</v>
      </c>
      <c r="K791" t="s">
        <v>3522</v>
      </c>
      <c r="L791" t="s">
        <v>3525</v>
      </c>
      <c r="M791" t="s">
        <v>3871</v>
      </c>
      <c r="N791" t="s">
        <v>4109</v>
      </c>
      <c r="O791" t="s">
        <v>4134</v>
      </c>
      <c r="Q791" t="s">
        <v>4147</v>
      </c>
      <c r="R791" t="s">
        <v>3523</v>
      </c>
      <c r="S791" t="s">
        <v>4153</v>
      </c>
      <c r="T791" t="s">
        <v>4156</v>
      </c>
      <c r="V791" t="s">
        <v>270</v>
      </c>
      <c r="W791">
        <v>636.0700000000001</v>
      </c>
      <c r="X791" t="s">
        <v>4196</v>
      </c>
      <c r="Y791" t="s">
        <v>4203</v>
      </c>
      <c r="Z791" t="s">
        <v>4906</v>
      </c>
      <c r="AB791" t="s">
        <v>6255</v>
      </c>
      <c r="AC791">
        <v>13</v>
      </c>
      <c r="AD791" t="s">
        <v>6772</v>
      </c>
      <c r="AE791" t="s">
        <v>6791</v>
      </c>
      <c r="AF791">
        <v>21</v>
      </c>
      <c r="AG791">
        <v>1</v>
      </c>
      <c r="AH791">
        <v>0</v>
      </c>
      <c r="AI791">
        <v>115.29</v>
      </c>
      <c r="AL791" t="s">
        <v>6801</v>
      </c>
      <c r="AM791">
        <v>14400</v>
      </c>
    </row>
    <row r="792" spans="1:44">
      <c r="A792" s="1">
        <f>HYPERLINK("https://lsnyc.legalserver.org/matter/dynamic-profile/view/1904621","19-1904621")</f>
        <v>0</v>
      </c>
      <c r="B792" t="s">
        <v>162</v>
      </c>
      <c r="C792" t="s">
        <v>246</v>
      </c>
      <c r="E792" t="s">
        <v>913</v>
      </c>
      <c r="F792" t="s">
        <v>1776</v>
      </c>
      <c r="G792" t="s">
        <v>2750</v>
      </c>
      <c r="H792" t="s">
        <v>3360</v>
      </c>
      <c r="I792" t="s">
        <v>3495</v>
      </c>
      <c r="J792">
        <v>10033</v>
      </c>
      <c r="K792" t="s">
        <v>3522</v>
      </c>
      <c r="L792" t="s">
        <v>3525</v>
      </c>
      <c r="M792" t="s">
        <v>3872</v>
      </c>
      <c r="N792" t="s">
        <v>4109</v>
      </c>
      <c r="O792" t="s">
        <v>4136</v>
      </c>
      <c r="Q792" t="s">
        <v>4147</v>
      </c>
      <c r="R792" t="s">
        <v>3523</v>
      </c>
      <c r="T792" t="s">
        <v>4156</v>
      </c>
      <c r="V792" t="s">
        <v>246</v>
      </c>
      <c r="W792">
        <v>868.62</v>
      </c>
      <c r="X792" t="s">
        <v>4196</v>
      </c>
      <c r="Y792" t="s">
        <v>4197</v>
      </c>
      <c r="Z792" t="s">
        <v>4907</v>
      </c>
      <c r="AB792" t="s">
        <v>6256</v>
      </c>
      <c r="AC792">
        <v>39</v>
      </c>
      <c r="AD792" t="s">
        <v>6772</v>
      </c>
      <c r="AE792" t="s">
        <v>3526</v>
      </c>
      <c r="AF792">
        <v>46</v>
      </c>
      <c r="AG792">
        <v>2</v>
      </c>
      <c r="AH792">
        <v>3</v>
      </c>
      <c r="AI792">
        <v>116.01</v>
      </c>
      <c r="AL792" t="s">
        <v>6801</v>
      </c>
      <c r="AM792">
        <v>35000</v>
      </c>
    </row>
    <row r="793" spans="1:44">
      <c r="A793" s="1">
        <f>HYPERLINK("https://lsnyc.legalserver.org/matter/dynamic-profile/view/1917175","19-1917175")</f>
        <v>0</v>
      </c>
      <c r="B793" t="s">
        <v>47</v>
      </c>
      <c r="C793" t="s">
        <v>332</v>
      </c>
      <c r="E793" t="s">
        <v>914</v>
      </c>
      <c r="F793" t="s">
        <v>1777</v>
      </c>
      <c r="G793" t="s">
        <v>2751</v>
      </c>
      <c r="H793" t="s">
        <v>3361</v>
      </c>
      <c r="I793" t="s">
        <v>3479</v>
      </c>
      <c r="J793">
        <v>11691</v>
      </c>
      <c r="K793" t="s">
        <v>3522</v>
      </c>
      <c r="L793" t="s">
        <v>3525</v>
      </c>
      <c r="M793" t="s">
        <v>3873</v>
      </c>
      <c r="N793" t="s">
        <v>4109</v>
      </c>
      <c r="O793" t="s">
        <v>4136</v>
      </c>
      <c r="Q793" t="s">
        <v>4147</v>
      </c>
      <c r="R793" t="s">
        <v>3523</v>
      </c>
      <c r="T793" t="s">
        <v>4156</v>
      </c>
      <c r="V793" t="s">
        <v>332</v>
      </c>
      <c r="W793">
        <v>402</v>
      </c>
      <c r="X793" t="s">
        <v>4192</v>
      </c>
      <c r="Y793" t="s">
        <v>4197</v>
      </c>
      <c r="Z793" t="s">
        <v>4908</v>
      </c>
      <c r="AB793" t="s">
        <v>6257</v>
      </c>
      <c r="AC793">
        <v>120</v>
      </c>
      <c r="AD793" t="s">
        <v>5524</v>
      </c>
      <c r="AE793" t="s">
        <v>3526</v>
      </c>
      <c r="AF793">
        <v>2</v>
      </c>
      <c r="AG793">
        <v>1</v>
      </c>
      <c r="AH793">
        <v>0</v>
      </c>
      <c r="AI793">
        <v>116.16</v>
      </c>
      <c r="AL793" t="s">
        <v>6801</v>
      </c>
      <c r="AM793">
        <v>14508</v>
      </c>
    </row>
    <row r="794" spans="1:44">
      <c r="A794" s="1">
        <f>HYPERLINK("https://lsnyc.legalserver.org/matter/dynamic-profile/view/1906962","19-1906962")</f>
        <v>0</v>
      </c>
      <c r="B794" t="s">
        <v>51</v>
      </c>
      <c r="C794" t="s">
        <v>217</v>
      </c>
      <c r="E794" t="s">
        <v>838</v>
      </c>
      <c r="F794" t="s">
        <v>1451</v>
      </c>
      <c r="G794" t="s">
        <v>2752</v>
      </c>
      <c r="I794" t="s">
        <v>3490</v>
      </c>
      <c r="J794">
        <v>11208</v>
      </c>
      <c r="K794" t="s">
        <v>3522</v>
      </c>
      <c r="L794" t="s">
        <v>3525</v>
      </c>
      <c r="N794" t="s">
        <v>4130</v>
      </c>
      <c r="O794" t="s">
        <v>4137</v>
      </c>
      <c r="Q794" t="s">
        <v>4147</v>
      </c>
      <c r="R794" t="s">
        <v>3523</v>
      </c>
      <c r="T794" t="s">
        <v>4156</v>
      </c>
      <c r="V794" t="s">
        <v>217</v>
      </c>
      <c r="W794">
        <v>0</v>
      </c>
      <c r="X794" t="s">
        <v>4193</v>
      </c>
      <c r="Z794" t="s">
        <v>4909</v>
      </c>
      <c r="AB794" t="s">
        <v>6258</v>
      </c>
      <c r="AC794">
        <v>4</v>
      </c>
      <c r="AF794">
        <v>0</v>
      </c>
      <c r="AG794">
        <v>1</v>
      </c>
      <c r="AH794">
        <v>0</v>
      </c>
      <c r="AI794">
        <v>116.54</v>
      </c>
      <c r="AL794" t="s">
        <v>6802</v>
      </c>
      <c r="AM794">
        <v>14556</v>
      </c>
    </row>
    <row r="795" spans="1:44">
      <c r="A795" s="1">
        <f>HYPERLINK("https://lsnyc.legalserver.org/matter/dynamic-profile/view/1916015","19-1916015")</f>
        <v>0</v>
      </c>
      <c r="B795" t="s">
        <v>53</v>
      </c>
      <c r="C795" t="s">
        <v>299</v>
      </c>
      <c r="E795" t="s">
        <v>915</v>
      </c>
      <c r="F795" t="s">
        <v>1778</v>
      </c>
      <c r="G795" t="s">
        <v>2753</v>
      </c>
      <c r="H795" t="s">
        <v>3362</v>
      </c>
      <c r="I795" t="s">
        <v>3490</v>
      </c>
      <c r="J795">
        <v>11213</v>
      </c>
      <c r="K795" t="s">
        <v>3522</v>
      </c>
      <c r="L795" t="s">
        <v>3525</v>
      </c>
      <c r="O795" t="s">
        <v>4133</v>
      </c>
      <c r="Q795" t="s">
        <v>4147</v>
      </c>
      <c r="R795" t="s">
        <v>3523</v>
      </c>
      <c r="T795" t="s">
        <v>4156</v>
      </c>
      <c r="V795" t="s">
        <v>299</v>
      </c>
      <c r="W795">
        <v>0</v>
      </c>
      <c r="X795" t="s">
        <v>4193</v>
      </c>
      <c r="Y795" t="s">
        <v>4210</v>
      </c>
      <c r="Z795" t="s">
        <v>4910</v>
      </c>
      <c r="AA795" t="s">
        <v>5608</v>
      </c>
      <c r="AB795" t="s">
        <v>6259</v>
      </c>
      <c r="AC795">
        <v>54</v>
      </c>
      <c r="AD795" t="s">
        <v>6778</v>
      </c>
      <c r="AF795">
        <v>3</v>
      </c>
      <c r="AG795">
        <v>1</v>
      </c>
      <c r="AH795">
        <v>0</v>
      </c>
      <c r="AI795">
        <v>116.57</v>
      </c>
      <c r="AL795" t="s">
        <v>6801</v>
      </c>
      <c r="AM795">
        <v>14559.96</v>
      </c>
    </row>
    <row r="796" spans="1:44">
      <c r="A796" s="1">
        <f>HYPERLINK("https://lsnyc.legalserver.org/matter/dynamic-profile/view/1904900","19-1904900")</f>
        <v>0</v>
      </c>
      <c r="B796" t="s">
        <v>107</v>
      </c>
      <c r="C796" t="s">
        <v>276</v>
      </c>
      <c r="D796" t="s">
        <v>238</v>
      </c>
      <c r="E796" t="s">
        <v>404</v>
      </c>
      <c r="F796" t="s">
        <v>1598</v>
      </c>
      <c r="G796" t="s">
        <v>2754</v>
      </c>
      <c r="H796">
        <v>1</v>
      </c>
      <c r="I796" t="s">
        <v>3494</v>
      </c>
      <c r="J796">
        <v>10301</v>
      </c>
      <c r="K796" t="s">
        <v>3522</v>
      </c>
      <c r="L796" t="s">
        <v>3525</v>
      </c>
      <c r="M796" t="s">
        <v>3874</v>
      </c>
      <c r="N796" t="s">
        <v>4109</v>
      </c>
      <c r="O796" t="s">
        <v>4134</v>
      </c>
      <c r="P796" t="s">
        <v>4140</v>
      </c>
      <c r="Q796" t="s">
        <v>4147</v>
      </c>
      <c r="R796" t="s">
        <v>3523</v>
      </c>
      <c r="T796" t="s">
        <v>4156</v>
      </c>
      <c r="U796" t="s">
        <v>4168</v>
      </c>
      <c r="V796" t="s">
        <v>276</v>
      </c>
      <c r="W796">
        <v>355</v>
      </c>
      <c r="X796" t="s">
        <v>4195</v>
      </c>
      <c r="Y796" t="s">
        <v>4203</v>
      </c>
      <c r="Z796" t="s">
        <v>4911</v>
      </c>
      <c r="AB796" t="s">
        <v>6260</v>
      </c>
      <c r="AC796">
        <v>10</v>
      </c>
      <c r="AD796" t="s">
        <v>6771</v>
      </c>
      <c r="AE796" t="s">
        <v>6787</v>
      </c>
      <c r="AF796">
        <v>2</v>
      </c>
      <c r="AG796">
        <v>1</v>
      </c>
      <c r="AH796">
        <v>0</v>
      </c>
      <c r="AI796">
        <v>116.83</v>
      </c>
      <c r="AL796" t="s">
        <v>6801</v>
      </c>
      <c r="AM796">
        <v>14592</v>
      </c>
      <c r="AO796" t="s">
        <v>6921</v>
      </c>
      <c r="AP796" t="s">
        <v>4200</v>
      </c>
      <c r="AQ796" t="s">
        <v>6946</v>
      </c>
      <c r="AR796" t="s">
        <v>6957</v>
      </c>
    </row>
    <row r="797" spans="1:44">
      <c r="A797" s="1">
        <f>HYPERLINK("https://lsnyc.legalserver.org/matter/dynamic-profile/view/1895283","19-1895283")</f>
        <v>0</v>
      </c>
      <c r="B797" t="s">
        <v>58</v>
      </c>
      <c r="C797" t="s">
        <v>343</v>
      </c>
      <c r="E797" t="s">
        <v>916</v>
      </c>
      <c r="F797" t="s">
        <v>1779</v>
      </c>
      <c r="G797" t="s">
        <v>2755</v>
      </c>
      <c r="H797" t="s">
        <v>3170</v>
      </c>
      <c r="I797" t="s">
        <v>3490</v>
      </c>
      <c r="J797">
        <v>11212</v>
      </c>
      <c r="K797" t="s">
        <v>3522</v>
      </c>
      <c r="L797" t="s">
        <v>3527</v>
      </c>
      <c r="M797" t="s">
        <v>3554</v>
      </c>
      <c r="N797" t="s">
        <v>4112</v>
      </c>
      <c r="O797" t="s">
        <v>4135</v>
      </c>
      <c r="Q797" t="s">
        <v>4147</v>
      </c>
      <c r="R797" t="s">
        <v>3522</v>
      </c>
      <c r="T797" t="s">
        <v>4165</v>
      </c>
      <c r="U797" t="s">
        <v>4168</v>
      </c>
      <c r="V797" t="s">
        <v>336</v>
      </c>
      <c r="W797">
        <v>1326</v>
      </c>
      <c r="X797" t="s">
        <v>4193</v>
      </c>
      <c r="Y797" t="s">
        <v>4200</v>
      </c>
      <c r="Z797" t="s">
        <v>4912</v>
      </c>
      <c r="AA797" t="s">
        <v>5609</v>
      </c>
      <c r="AC797">
        <v>16</v>
      </c>
      <c r="AD797" t="s">
        <v>6772</v>
      </c>
      <c r="AE797" t="s">
        <v>6788</v>
      </c>
      <c r="AF797">
        <v>3</v>
      </c>
      <c r="AG797">
        <v>1</v>
      </c>
      <c r="AH797">
        <v>1</v>
      </c>
      <c r="AI797">
        <v>116.88</v>
      </c>
      <c r="AL797" t="s">
        <v>6801</v>
      </c>
      <c r="AM797">
        <v>19764</v>
      </c>
    </row>
    <row r="798" spans="1:44">
      <c r="A798" s="1">
        <f>HYPERLINK("https://lsnyc.legalserver.org/matter/dynamic-profile/view/1907939","19-1907939")</f>
        <v>0</v>
      </c>
      <c r="B798" t="s">
        <v>46</v>
      </c>
      <c r="C798" t="s">
        <v>193</v>
      </c>
      <c r="E798" t="s">
        <v>917</v>
      </c>
      <c r="F798" t="s">
        <v>1780</v>
      </c>
      <c r="G798" t="s">
        <v>2756</v>
      </c>
      <c r="H798" t="s">
        <v>3189</v>
      </c>
      <c r="I798" t="s">
        <v>3480</v>
      </c>
      <c r="J798">
        <v>11432</v>
      </c>
      <c r="K798" t="s">
        <v>3522</v>
      </c>
      <c r="L798" t="s">
        <v>3525</v>
      </c>
      <c r="M798" t="s">
        <v>3875</v>
      </c>
      <c r="N798" t="s">
        <v>4109</v>
      </c>
      <c r="O798" t="s">
        <v>4132</v>
      </c>
      <c r="Q798" t="s">
        <v>4147</v>
      </c>
      <c r="R798" t="s">
        <v>3523</v>
      </c>
      <c r="T798" t="s">
        <v>4156</v>
      </c>
      <c r="U798" t="s">
        <v>4168</v>
      </c>
      <c r="V798" t="s">
        <v>193</v>
      </c>
      <c r="W798">
        <v>1425</v>
      </c>
      <c r="X798" t="s">
        <v>4192</v>
      </c>
      <c r="Y798" t="s">
        <v>4197</v>
      </c>
      <c r="Z798" t="s">
        <v>4913</v>
      </c>
      <c r="AB798" t="s">
        <v>6261</v>
      </c>
      <c r="AC798">
        <v>102</v>
      </c>
      <c r="AD798" t="s">
        <v>6772</v>
      </c>
      <c r="AE798" t="s">
        <v>3526</v>
      </c>
      <c r="AF798">
        <v>3</v>
      </c>
      <c r="AG798">
        <v>2</v>
      </c>
      <c r="AH798">
        <v>1</v>
      </c>
      <c r="AI798">
        <v>117.21</v>
      </c>
      <c r="AL798" t="s">
        <v>6803</v>
      </c>
      <c r="AM798">
        <v>25000</v>
      </c>
    </row>
    <row r="799" spans="1:44">
      <c r="A799" s="1">
        <f>HYPERLINK("https://lsnyc.legalserver.org/matter/dynamic-profile/view/1915975","19-1915975")</f>
        <v>0</v>
      </c>
      <c r="B799" t="s">
        <v>49</v>
      </c>
      <c r="C799" t="s">
        <v>299</v>
      </c>
      <c r="E799" t="s">
        <v>918</v>
      </c>
      <c r="F799" t="s">
        <v>1781</v>
      </c>
      <c r="G799" t="s">
        <v>2757</v>
      </c>
      <c r="H799" t="s">
        <v>3127</v>
      </c>
      <c r="I799" t="s">
        <v>3516</v>
      </c>
      <c r="J799">
        <v>11372</v>
      </c>
      <c r="K799" t="s">
        <v>3522</v>
      </c>
      <c r="L799" t="s">
        <v>3525</v>
      </c>
      <c r="M799" t="s">
        <v>3876</v>
      </c>
      <c r="N799" t="s">
        <v>4109</v>
      </c>
      <c r="O799" t="s">
        <v>4136</v>
      </c>
      <c r="Q799" t="s">
        <v>4147</v>
      </c>
      <c r="R799" t="s">
        <v>3523</v>
      </c>
      <c r="T799" t="s">
        <v>4156</v>
      </c>
      <c r="V799" t="s">
        <v>299</v>
      </c>
      <c r="W799">
        <v>1900</v>
      </c>
      <c r="X799" t="s">
        <v>4192</v>
      </c>
      <c r="Y799" t="s">
        <v>4197</v>
      </c>
      <c r="Z799" t="s">
        <v>4914</v>
      </c>
      <c r="AA799" t="s">
        <v>5610</v>
      </c>
      <c r="AB799" t="s">
        <v>6262</v>
      </c>
      <c r="AC799">
        <v>2</v>
      </c>
      <c r="AD799" t="s">
        <v>5524</v>
      </c>
      <c r="AE799" t="s">
        <v>3526</v>
      </c>
      <c r="AF799">
        <v>-1</v>
      </c>
      <c r="AG799">
        <v>2</v>
      </c>
      <c r="AH799">
        <v>1</v>
      </c>
      <c r="AI799">
        <v>117.21</v>
      </c>
      <c r="AL799" t="s">
        <v>6802</v>
      </c>
      <c r="AM799">
        <v>25000</v>
      </c>
    </row>
    <row r="800" spans="1:44">
      <c r="A800" s="1">
        <f>HYPERLINK("https://lsnyc.legalserver.org/matter/dynamic-profile/view/1907122","19-1907122")</f>
        <v>0</v>
      </c>
      <c r="B800" t="s">
        <v>108</v>
      </c>
      <c r="C800" t="s">
        <v>344</v>
      </c>
      <c r="E800" t="s">
        <v>919</v>
      </c>
      <c r="F800" t="s">
        <v>1782</v>
      </c>
      <c r="G800" t="s">
        <v>2758</v>
      </c>
      <c r="H800" t="s">
        <v>3151</v>
      </c>
      <c r="I800" t="s">
        <v>3491</v>
      </c>
      <c r="J800">
        <v>11103</v>
      </c>
      <c r="K800" t="s">
        <v>3522</v>
      </c>
      <c r="L800" t="s">
        <v>3525</v>
      </c>
      <c r="M800" t="s">
        <v>3877</v>
      </c>
      <c r="N800" t="s">
        <v>4110</v>
      </c>
      <c r="O800" t="s">
        <v>4137</v>
      </c>
      <c r="Q800" t="s">
        <v>4147</v>
      </c>
      <c r="R800" t="s">
        <v>3523</v>
      </c>
      <c r="T800" t="s">
        <v>4156</v>
      </c>
      <c r="U800" t="s">
        <v>4168</v>
      </c>
      <c r="V800" t="s">
        <v>344</v>
      </c>
      <c r="W800">
        <v>1400</v>
      </c>
      <c r="X800" t="s">
        <v>4192</v>
      </c>
      <c r="Y800" t="s">
        <v>4214</v>
      </c>
      <c r="Z800" t="s">
        <v>4915</v>
      </c>
      <c r="AB800" t="s">
        <v>6263</v>
      </c>
      <c r="AC800">
        <v>4</v>
      </c>
      <c r="AD800" t="s">
        <v>6772</v>
      </c>
      <c r="AE800" t="s">
        <v>3526</v>
      </c>
      <c r="AF800">
        <v>9</v>
      </c>
      <c r="AG800">
        <v>2</v>
      </c>
      <c r="AH800">
        <v>1</v>
      </c>
      <c r="AI800">
        <v>117.21</v>
      </c>
      <c r="AL800" t="s">
        <v>6801</v>
      </c>
      <c r="AM800">
        <v>25000</v>
      </c>
      <c r="AP800" t="s">
        <v>6938</v>
      </c>
    </row>
    <row r="801" spans="1:44">
      <c r="A801" s="1">
        <f>HYPERLINK("https://lsnyc.legalserver.org/matter/dynamic-profile/view/1914254","19-1914254")</f>
        <v>0</v>
      </c>
      <c r="B801" t="s">
        <v>91</v>
      </c>
      <c r="C801" t="s">
        <v>245</v>
      </c>
      <c r="E801" t="s">
        <v>920</v>
      </c>
      <c r="F801" t="s">
        <v>1783</v>
      </c>
      <c r="G801" t="s">
        <v>2612</v>
      </c>
      <c r="I801" t="s">
        <v>3495</v>
      </c>
      <c r="J801">
        <v>10037</v>
      </c>
      <c r="K801" t="s">
        <v>3522</v>
      </c>
      <c r="L801" t="s">
        <v>3525</v>
      </c>
      <c r="N801" t="s">
        <v>4108</v>
      </c>
      <c r="O801" t="s">
        <v>4137</v>
      </c>
      <c r="Q801" t="s">
        <v>4147</v>
      </c>
      <c r="R801" t="s">
        <v>3522</v>
      </c>
      <c r="T801" t="s">
        <v>4156</v>
      </c>
      <c r="U801" t="s">
        <v>4168</v>
      </c>
      <c r="V801" t="s">
        <v>199</v>
      </c>
      <c r="W801">
        <v>1987.34</v>
      </c>
      <c r="X801" t="s">
        <v>4196</v>
      </c>
      <c r="Y801" t="s">
        <v>4198</v>
      </c>
      <c r="Z801" t="s">
        <v>4916</v>
      </c>
      <c r="AB801" t="s">
        <v>6264</v>
      </c>
      <c r="AC801">
        <v>259</v>
      </c>
      <c r="AD801" t="s">
        <v>6772</v>
      </c>
      <c r="AE801" t="s">
        <v>3526</v>
      </c>
      <c r="AF801">
        <v>3</v>
      </c>
      <c r="AG801">
        <v>1</v>
      </c>
      <c r="AH801">
        <v>2</v>
      </c>
      <c r="AI801">
        <v>117.21</v>
      </c>
      <c r="AL801" t="s">
        <v>6801</v>
      </c>
      <c r="AM801">
        <v>25000</v>
      </c>
    </row>
    <row r="802" spans="1:44">
      <c r="A802" s="1">
        <f>HYPERLINK("https://lsnyc.legalserver.org/matter/dynamic-profile/view/1916318","19-1916318")</f>
        <v>0</v>
      </c>
      <c r="B802" t="s">
        <v>91</v>
      </c>
      <c r="C802" t="s">
        <v>223</v>
      </c>
      <c r="E802" t="s">
        <v>920</v>
      </c>
      <c r="F802" t="s">
        <v>1783</v>
      </c>
      <c r="G802" t="s">
        <v>2612</v>
      </c>
      <c r="H802" t="s">
        <v>3363</v>
      </c>
      <c r="I802" t="s">
        <v>3495</v>
      </c>
      <c r="J802">
        <v>10037</v>
      </c>
      <c r="K802" t="s">
        <v>3522</v>
      </c>
      <c r="L802" t="s">
        <v>3525</v>
      </c>
      <c r="N802" t="s">
        <v>3554</v>
      </c>
      <c r="O802" t="s">
        <v>4135</v>
      </c>
      <c r="Q802" t="s">
        <v>4147</v>
      </c>
      <c r="R802" t="s">
        <v>3522</v>
      </c>
      <c r="T802" t="s">
        <v>4156</v>
      </c>
      <c r="U802" t="s">
        <v>4168</v>
      </c>
      <c r="V802" t="s">
        <v>223</v>
      </c>
      <c r="W802">
        <v>1987.34</v>
      </c>
      <c r="X802" t="s">
        <v>4196</v>
      </c>
      <c r="Y802" t="s">
        <v>4201</v>
      </c>
      <c r="Z802" t="s">
        <v>4916</v>
      </c>
      <c r="AB802" t="s">
        <v>6264</v>
      </c>
      <c r="AC802">
        <v>259</v>
      </c>
      <c r="AD802" t="s">
        <v>6772</v>
      </c>
      <c r="AE802" t="s">
        <v>3526</v>
      </c>
      <c r="AF802">
        <v>3</v>
      </c>
      <c r="AG802">
        <v>1</v>
      </c>
      <c r="AH802">
        <v>2</v>
      </c>
      <c r="AI802">
        <v>117.21</v>
      </c>
      <c r="AL802" t="s">
        <v>6801</v>
      </c>
      <c r="AM802">
        <v>25000</v>
      </c>
    </row>
    <row r="803" spans="1:44">
      <c r="A803" s="1">
        <f>HYPERLINK("https://lsnyc.legalserver.org/matter/dynamic-profile/view/1908890","19-1908890")</f>
        <v>0</v>
      </c>
      <c r="B803" t="s">
        <v>94</v>
      </c>
      <c r="C803" t="s">
        <v>304</v>
      </c>
      <c r="E803" t="s">
        <v>414</v>
      </c>
      <c r="F803" t="s">
        <v>1480</v>
      </c>
      <c r="G803" t="s">
        <v>2480</v>
      </c>
      <c r="H803" t="s">
        <v>3158</v>
      </c>
      <c r="I803" t="s">
        <v>3495</v>
      </c>
      <c r="J803">
        <v>10035</v>
      </c>
      <c r="K803" t="s">
        <v>3522</v>
      </c>
      <c r="L803" t="s">
        <v>3525</v>
      </c>
      <c r="N803" t="s">
        <v>3554</v>
      </c>
      <c r="O803" t="s">
        <v>4135</v>
      </c>
      <c r="Q803" t="s">
        <v>4147</v>
      </c>
      <c r="R803" t="s">
        <v>3522</v>
      </c>
      <c r="T803" t="s">
        <v>4156</v>
      </c>
      <c r="U803" t="s">
        <v>4168</v>
      </c>
      <c r="V803" t="s">
        <v>304</v>
      </c>
      <c r="W803">
        <v>1025.77</v>
      </c>
      <c r="X803" t="s">
        <v>4196</v>
      </c>
      <c r="Y803" t="s">
        <v>4198</v>
      </c>
      <c r="Z803" t="s">
        <v>4917</v>
      </c>
      <c r="AB803" t="s">
        <v>6265</v>
      </c>
      <c r="AC803">
        <v>60</v>
      </c>
      <c r="AD803" t="s">
        <v>6772</v>
      </c>
      <c r="AE803" t="s">
        <v>6786</v>
      </c>
      <c r="AF803">
        <v>10</v>
      </c>
      <c r="AG803">
        <v>2</v>
      </c>
      <c r="AH803">
        <v>0</v>
      </c>
      <c r="AI803">
        <v>118.23</v>
      </c>
      <c r="AL803" t="s">
        <v>6801</v>
      </c>
      <c r="AM803">
        <v>19992</v>
      </c>
    </row>
    <row r="804" spans="1:44">
      <c r="A804" s="1">
        <f>HYPERLINK("https://lsnyc.legalserver.org/matter/dynamic-profile/view/1915616","19-1915616")</f>
        <v>0</v>
      </c>
      <c r="B804" t="s">
        <v>68</v>
      </c>
      <c r="C804" t="s">
        <v>325</v>
      </c>
      <c r="E804" t="s">
        <v>921</v>
      </c>
      <c r="F804" t="s">
        <v>1407</v>
      </c>
      <c r="G804" t="s">
        <v>2759</v>
      </c>
      <c r="H804" t="s">
        <v>3216</v>
      </c>
      <c r="I804" t="s">
        <v>3490</v>
      </c>
      <c r="J804">
        <v>11212</v>
      </c>
      <c r="K804" t="s">
        <v>3522</v>
      </c>
      <c r="L804" t="s">
        <v>3525</v>
      </c>
      <c r="M804" t="s">
        <v>3554</v>
      </c>
      <c r="N804" t="s">
        <v>4110</v>
      </c>
      <c r="O804" t="s">
        <v>4135</v>
      </c>
      <c r="Q804" t="s">
        <v>4147</v>
      </c>
      <c r="R804" t="s">
        <v>3523</v>
      </c>
      <c r="T804" t="s">
        <v>4156</v>
      </c>
      <c r="V804" t="s">
        <v>230</v>
      </c>
      <c r="W804">
        <v>1016</v>
      </c>
      <c r="X804" t="s">
        <v>4193</v>
      </c>
      <c r="Y804" t="s">
        <v>4200</v>
      </c>
      <c r="Z804" t="s">
        <v>4918</v>
      </c>
      <c r="AA804" t="s">
        <v>3526</v>
      </c>
      <c r="AC804">
        <v>71</v>
      </c>
      <c r="AD804" t="s">
        <v>6772</v>
      </c>
      <c r="AE804" t="s">
        <v>3526</v>
      </c>
      <c r="AF804">
        <v>20</v>
      </c>
      <c r="AG804">
        <v>2</v>
      </c>
      <c r="AH804">
        <v>0</v>
      </c>
      <c r="AI804">
        <v>118.27</v>
      </c>
      <c r="AL804" t="s">
        <v>6801</v>
      </c>
      <c r="AM804">
        <v>20000</v>
      </c>
    </row>
    <row r="805" spans="1:44">
      <c r="A805" s="1">
        <f>HYPERLINK("https://lsnyc.legalserver.org/matter/dynamic-profile/view/1906250","19-1906250")</f>
        <v>0</v>
      </c>
      <c r="B805" t="s">
        <v>163</v>
      </c>
      <c r="C805" t="s">
        <v>188</v>
      </c>
      <c r="D805" t="s">
        <v>327</v>
      </c>
      <c r="E805" t="s">
        <v>669</v>
      </c>
      <c r="F805" t="s">
        <v>1741</v>
      </c>
      <c r="G805" t="s">
        <v>2760</v>
      </c>
      <c r="H805" t="s">
        <v>3211</v>
      </c>
      <c r="I805" t="s">
        <v>3501</v>
      </c>
      <c r="J805">
        <v>11101</v>
      </c>
      <c r="K805" t="s">
        <v>3522</v>
      </c>
      <c r="L805" t="s">
        <v>3525</v>
      </c>
      <c r="M805" t="s">
        <v>3878</v>
      </c>
      <c r="N805" t="s">
        <v>4109</v>
      </c>
      <c r="O805" t="s">
        <v>4132</v>
      </c>
      <c r="P805" t="s">
        <v>4139</v>
      </c>
      <c r="Q805" t="s">
        <v>4147</v>
      </c>
      <c r="R805" t="s">
        <v>3522</v>
      </c>
      <c r="T805" t="s">
        <v>4156</v>
      </c>
      <c r="U805" t="s">
        <v>4169</v>
      </c>
      <c r="V805" t="s">
        <v>188</v>
      </c>
      <c r="W805">
        <v>997</v>
      </c>
      <c r="X805" t="s">
        <v>4192</v>
      </c>
      <c r="Y805" t="s">
        <v>4197</v>
      </c>
      <c r="Z805" t="s">
        <v>4919</v>
      </c>
      <c r="AA805" t="s">
        <v>5611</v>
      </c>
      <c r="AB805" t="s">
        <v>6266</v>
      </c>
      <c r="AC805">
        <v>60</v>
      </c>
      <c r="AD805" t="s">
        <v>5524</v>
      </c>
      <c r="AE805" t="s">
        <v>3526</v>
      </c>
      <c r="AF805">
        <v>22</v>
      </c>
      <c r="AG805">
        <v>2</v>
      </c>
      <c r="AH805">
        <v>0</v>
      </c>
      <c r="AI805">
        <v>118.27</v>
      </c>
      <c r="AM805">
        <v>20000</v>
      </c>
    </row>
    <row r="806" spans="1:44">
      <c r="A806" s="1">
        <f>HYPERLINK("https://lsnyc.legalserver.org/matter/dynamic-profile/view/1907356","19-1907356")</f>
        <v>0</v>
      </c>
      <c r="B806" t="s">
        <v>120</v>
      </c>
      <c r="C806" t="s">
        <v>222</v>
      </c>
      <c r="D806" t="s">
        <v>303</v>
      </c>
      <c r="E806" t="s">
        <v>586</v>
      </c>
      <c r="F806" t="s">
        <v>1784</v>
      </c>
      <c r="G806" t="s">
        <v>2761</v>
      </c>
      <c r="I806" t="s">
        <v>3494</v>
      </c>
      <c r="J806">
        <v>10301</v>
      </c>
      <c r="K806" t="s">
        <v>3522</v>
      </c>
      <c r="L806" t="s">
        <v>3525</v>
      </c>
      <c r="M806" t="s">
        <v>3879</v>
      </c>
      <c r="N806" t="s">
        <v>4109</v>
      </c>
      <c r="O806" t="s">
        <v>4132</v>
      </c>
      <c r="P806" t="s">
        <v>4139</v>
      </c>
      <c r="Q806" t="s">
        <v>4147</v>
      </c>
      <c r="R806" t="s">
        <v>3523</v>
      </c>
      <c r="T806" t="s">
        <v>4156</v>
      </c>
      <c r="U806" t="s">
        <v>4169</v>
      </c>
      <c r="V806" t="s">
        <v>222</v>
      </c>
      <c r="W806">
        <v>1975</v>
      </c>
      <c r="X806" t="s">
        <v>4195</v>
      </c>
      <c r="Y806" t="s">
        <v>4209</v>
      </c>
      <c r="Z806" t="s">
        <v>4920</v>
      </c>
      <c r="AB806" t="s">
        <v>6267</v>
      </c>
      <c r="AC806">
        <v>1</v>
      </c>
      <c r="AD806" t="s">
        <v>6771</v>
      </c>
      <c r="AE806" t="s">
        <v>3526</v>
      </c>
      <c r="AF806">
        <v>-1</v>
      </c>
      <c r="AG806">
        <v>1</v>
      </c>
      <c r="AH806">
        <v>1</v>
      </c>
      <c r="AI806">
        <v>118.27</v>
      </c>
      <c r="AL806" t="s">
        <v>6801</v>
      </c>
      <c r="AM806">
        <v>20000</v>
      </c>
    </row>
    <row r="807" spans="1:44">
      <c r="A807" s="1">
        <f>HYPERLINK("https://lsnyc.legalserver.org/matter/dynamic-profile/view/1905334","19-1905334")</f>
        <v>0</v>
      </c>
      <c r="B807" t="s">
        <v>164</v>
      </c>
      <c r="C807" t="s">
        <v>264</v>
      </c>
      <c r="D807" t="s">
        <v>195</v>
      </c>
      <c r="E807" t="s">
        <v>922</v>
      </c>
      <c r="F807" t="s">
        <v>1464</v>
      </c>
      <c r="G807" t="s">
        <v>2762</v>
      </c>
      <c r="H807" t="s">
        <v>3201</v>
      </c>
      <c r="I807" t="s">
        <v>3495</v>
      </c>
      <c r="J807">
        <v>10029</v>
      </c>
      <c r="K807" t="s">
        <v>3522</v>
      </c>
      <c r="L807" t="s">
        <v>3525</v>
      </c>
      <c r="N807" t="s">
        <v>4119</v>
      </c>
      <c r="O807" t="s">
        <v>4133</v>
      </c>
      <c r="P807" t="s">
        <v>4146</v>
      </c>
      <c r="Q807" t="s">
        <v>4147</v>
      </c>
      <c r="R807" t="s">
        <v>3523</v>
      </c>
      <c r="T807" t="s">
        <v>4166</v>
      </c>
      <c r="V807" t="s">
        <v>211</v>
      </c>
      <c r="W807">
        <v>0</v>
      </c>
      <c r="X807" t="s">
        <v>4196</v>
      </c>
      <c r="Z807" t="s">
        <v>4921</v>
      </c>
      <c r="AB807" t="s">
        <v>6268</v>
      </c>
      <c r="AC807">
        <v>24</v>
      </c>
      <c r="AF807">
        <v>0</v>
      </c>
      <c r="AG807">
        <v>2</v>
      </c>
      <c r="AH807">
        <v>0</v>
      </c>
      <c r="AI807">
        <v>118.27</v>
      </c>
      <c r="AL807" t="s">
        <v>6802</v>
      </c>
      <c r="AM807">
        <v>20000</v>
      </c>
      <c r="AR807" t="s">
        <v>6999</v>
      </c>
    </row>
    <row r="808" spans="1:44">
      <c r="A808" s="1">
        <f>HYPERLINK("https://lsnyc.legalserver.org/matter/dynamic-profile/view/1881716","18-1881716")</f>
        <v>0</v>
      </c>
      <c r="B808" t="s">
        <v>165</v>
      </c>
      <c r="C808" t="s">
        <v>345</v>
      </c>
      <c r="D808" t="s">
        <v>265</v>
      </c>
      <c r="E808" t="s">
        <v>693</v>
      </c>
      <c r="F808" t="s">
        <v>1785</v>
      </c>
      <c r="G808" t="s">
        <v>2763</v>
      </c>
      <c r="H808" t="s">
        <v>3364</v>
      </c>
      <c r="I808" t="s">
        <v>3493</v>
      </c>
      <c r="J808">
        <v>10451</v>
      </c>
      <c r="K808" t="s">
        <v>3522</v>
      </c>
      <c r="L808" t="s">
        <v>3525</v>
      </c>
      <c r="M808" t="s">
        <v>3683</v>
      </c>
      <c r="N808" t="s">
        <v>4113</v>
      </c>
      <c r="O808" t="s">
        <v>4135</v>
      </c>
      <c r="P808" t="s">
        <v>4139</v>
      </c>
      <c r="Q808" t="s">
        <v>4147</v>
      </c>
      <c r="R808" t="s">
        <v>3523</v>
      </c>
      <c r="T808" t="s">
        <v>4156</v>
      </c>
      <c r="U808" t="s">
        <v>4168</v>
      </c>
      <c r="V808" t="s">
        <v>359</v>
      </c>
      <c r="W808">
        <v>357</v>
      </c>
      <c r="X808" t="s">
        <v>4194</v>
      </c>
      <c r="Y808" t="s">
        <v>4200</v>
      </c>
      <c r="Z808" t="s">
        <v>4922</v>
      </c>
      <c r="AA808" t="s">
        <v>5612</v>
      </c>
      <c r="AB808" t="s">
        <v>6269</v>
      </c>
      <c r="AC808">
        <v>0</v>
      </c>
      <c r="AD808" t="s">
        <v>6777</v>
      </c>
      <c r="AF808">
        <v>6</v>
      </c>
      <c r="AG808">
        <v>2</v>
      </c>
      <c r="AH808">
        <v>1</v>
      </c>
      <c r="AI808">
        <v>118.73</v>
      </c>
      <c r="AL808" t="s">
        <v>6801</v>
      </c>
      <c r="AM808">
        <v>24672</v>
      </c>
      <c r="AN808" t="s">
        <v>6859</v>
      </c>
    </row>
    <row r="809" spans="1:44">
      <c r="A809" s="1">
        <f>HYPERLINK("https://lsnyc.legalserver.org/matter/dynamic-profile/view/1911355","19-1911355")</f>
        <v>0</v>
      </c>
      <c r="B809" t="s">
        <v>87</v>
      </c>
      <c r="C809" t="s">
        <v>313</v>
      </c>
      <c r="D809" t="s">
        <v>248</v>
      </c>
      <c r="E809" t="s">
        <v>923</v>
      </c>
      <c r="F809" t="s">
        <v>1786</v>
      </c>
      <c r="G809" t="s">
        <v>2691</v>
      </c>
      <c r="H809" t="s">
        <v>3203</v>
      </c>
      <c r="I809" t="s">
        <v>3495</v>
      </c>
      <c r="J809">
        <v>10034</v>
      </c>
      <c r="K809" t="s">
        <v>3522</v>
      </c>
      <c r="L809" t="s">
        <v>3525</v>
      </c>
      <c r="N809" t="s">
        <v>3554</v>
      </c>
      <c r="O809" t="s">
        <v>4132</v>
      </c>
      <c r="P809" t="s">
        <v>4139</v>
      </c>
      <c r="Q809" t="s">
        <v>4147</v>
      </c>
      <c r="R809" t="s">
        <v>3523</v>
      </c>
      <c r="T809" t="s">
        <v>4156</v>
      </c>
      <c r="V809" t="s">
        <v>313</v>
      </c>
      <c r="W809">
        <v>0</v>
      </c>
      <c r="X809" t="s">
        <v>4196</v>
      </c>
      <c r="Y809" t="s">
        <v>4205</v>
      </c>
      <c r="Z809" t="s">
        <v>4923</v>
      </c>
      <c r="AB809" t="s">
        <v>6270</v>
      </c>
      <c r="AC809">
        <v>22</v>
      </c>
      <c r="AD809" t="s">
        <v>6772</v>
      </c>
      <c r="AE809" t="s">
        <v>6786</v>
      </c>
      <c r="AF809">
        <v>0</v>
      </c>
      <c r="AG809">
        <v>1</v>
      </c>
      <c r="AH809">
        <v>0</v>
      </c>
      <c r="AI809">
        <v>119.23</v>
      </c>
      <c r="AL809" t="s">
        <v>6802</v>
      </c>
      <c r="AM809">
        <v>14892</v>
      </c>
    </row>
    <row r="810" spans="1:44">
      <c r="A810" s="1">
        <f>HYPERLINK("https://lsnyc.legalserver.org/matter/dynamic-profile/view/1909353","19-1909353")</f>
        <v>0</v>
      </c>
      <c r="B810" t="s">
        <v>86</v>
      </c>
      <c r="C810" t="s">
        <v>197</v>
      </c>
      <c r="E810" t="s">
        <v>923</v>
      </c>
      <c r="F810" t="s">
        <v>1786</v>
      </c>
      <c r="G810" t="s">
        <v>2691</v>
      </c>
      <c r="H810" t="s">
        <v>3203</v>
      </c>
      <c r="I810" t="s">
        <v>3495</v>
      </c>
      <c r="J810">
        <v>10034</v>
      </c>
      <c r="K810" t="s">
        <v>3522</v>
      </c>
      <c r="L810" t="s">
        <v>3525</v>
      </c>
      <c r="O810" t="s">
        <v>4136</v>
      </c>
      <c r="Q810" t="s">
        <v>4147</v>
      </c>
      <c r="R810" t="s">
        <v>3523</v>
      </c>
      <c r="T810" t="s">
        <v>4156</v>
      </c>
      <c r="V810" t="s">
        <v>197</v>
      </c>
      <c r="W810">
        <v>0</v>
      </c>
      <c r="X810" t="s">
        <v>4196</v>
      </c>
      <c r="Y810" t="s">
        <v>4205</v>
      </c>
      <c r="Z810" t="s">
        <v>4923</v>
      </c>
      <c r="AB810" t="s">
        <v>6270</v>
      </c>
      <c r="AC810">
        <v>22</v>
      </c>
      <c r="AD810" t="s">
        <v>6772</v>
      </c>
      <c r="AE810" t="s">
        <v>3526</v>
      </c>
      <c r="AF810">
        <v>15</v>
      </c>
      <c r="AG810">
        <v>1</v>
      </c>
      <c r="AH810">
        <v>0</v>
      </c>
      <c r="AI810">
        <v>119.23</v>
      </c>
      <c r="AL810" t="s">
        <v>6802</v>
      </c>
      <c r="AM810">
        <v>14892</v>
      </c>
    </row>
    <row r="811" spans="1:44">
      <c r="A811" s="1">
        <f>HYPERLINK("https://lsnyc.legalserver.org/matter/dynamic-profile/view/1908351","19-1908351")</f>
        <v>0</v>
      </c>
      <c r="B811" t="s">
        <v>47</v>
      </c>
      <c r="C811" t="s">
        <v>303</v>
      </c>
      <c r="E811" t="s">
        <v>924</v>
      </c>
      <c r="F811" t="s">
        <v>1787</v>
      </c>
      <c r="G811" t="s">
        <v>2614</v>
      </c>
      <c r="H811" t="s">
        <v>3161</v>
      </c>
      <c r="I811" t="s">
        <v>3486</v>
      </c>
      <c r="J811">
        <v>11377</v>
      </c>
      <c r="K811" t="s">
        <v>3522</v>
      </c>
      <c r="L811" t="s">
        <v>3525</v>
      </c>
      <c r="M811" t="s">
        <v>3792</v>
      </c>
      <c r="N811" t="s">
        <v>4110</v>
      </c>
      <c r="O811" t="s">
        <v>4137</v>
      </c>
      <c r="Q811" t="s">
        <v>4147</v>
      </c>
      <c r="R811" t="s">
        <v>3522</v>
      </c>
      <c r="T811" t="s">
        <v>4156</v>
      </c>
      <c r="U811" t="s">
        <v>4168</v>
      </c>
      <c r="V811" t="s">
        <v>303</v>
      </c>
      <c r="W811">
        <v>1624.22</v>
      </c>
      <c r="X811" t="s">
        <v>4192</v>
      </c>
      <c r="Y811" t="s">
        <v>4206</v>
      </c>
      <c r="Z811" t="s">
        <v>4924</v>
      </c>
      <c r="AB811" t="s">
        <v>6271</v>
      </c>
      <c r="AC811">
        <v>67</v>
      </c>
      <c r="AD811" t="s">
        <v>6772</v>
      </c>
      <c r="AE811" t="s">
        <v>3526</v>
      </c>
      <c r="AF811">
        <v>0</v>
      </c>
      <c r="AG811">
        <v>4</v>
      </c>
      <c r="AH811">
        <v>1</v>
      </c>
      <c r="AI811">
        <v>119.32</v>
      </c>
      <c r="AL811" t="s">
        <v>6801</v>
      </c>
      <c r="AM811">
        <v>36000</v>
      </c>
      <c r="AP811" t="s">
        <v>4200</v>
      </c>
    </row>
    <row r="812" spans="1:44">
      <c r="A812" s="1">
        <f>HYPERLINK("https://lsnyc.legalserver.org/matter/dynamic-profile/view/1908355","19-1908355")</f>
        <v>0</v>
      </c>
      <c r="B812" t="s">
        <v>47</v>
      </c>
      <c r="C812" t="s">
        <v>303</v>
      </c>
      <c r="E812" t="s">
        <v>924</v>
      </c>
      <c r="F812" t="s">
        <v>1787</v>
      </c>
      <c r="G812" t="s">
        <v>2614</v>
      </c>
      <c r="H812" t="s">
        <v>3161</v>
      </c>
      <c r="I812" t="s">
        <v>3486</v>
      </c>
      <c r="J812">
        <v>11377</v>
      </c>
      <c r="K812" t="s">
        <v>3522</v>
      </c>
      <c r="L812" t="s">
        <v>3525</v>
      </c>
      <c r="M812" t="s">
        <v>3793</v>
      </c>
      <c r="N812" t="s">
        <v>4110</v>
      </c>
      <c r="O812" t="s">
        <v>4137</v>
      </c>
      <c r="Q812" t="s">
        <v>4147</v>
      </c>
      <c r="R812" t="s">
        <v>3522</v>
      </c>
      <c r="T812" t="s">
        <v>4156</v>
      </c>
      <c r="V812" t="s">
        <v>4183</v>
      </c>
      <c r="W812">
        <v>1624.22</v>
      </c>
      <c r="X812" t="s">
        <v>4192</v>
      </c>
      <c r="Y812" t="s">
        <v>4206</v>
      </c>
      <c r="Z812" t="s">
        <v>4924</v>
      </c>
      <c r="AB812" t="s">
        <v>6271</v>
      </c>
      <c r="AC812">
        <v>67</v>
      </c>
      <c r="AD812" t="s">
        <v>6772</v>
      </c>
      <c r="AE812" t="s">
        <v>3526</v>
      </c>
      <c r="AF812">
        <v>0</v>
      </c>
      <c r="AG812">
        <v>4</v>
      </c>
      <c r="AH812">
        <v>1</v>
      </c>
      <c r="AI812">
        <v>119.32</v>
      </c>
      <c r="AL812" t="s">
        <v>6801</v>
      </c>
      <c r="AM812">
        <v>36000</v>
      </c>
    </row>
    <row r="813" spans="1:44">
      <c r="A813" s="1">
        <f>HYPERLINK("https://lsnyc.legalserver.org/matter/dynamic-profile/view/1904363","19-1904363")</f>
        <v>0</v>
      </c>
      <c r="B813" t="s">
        <v>84</v>
      </c>
      <c r="C813" t="s">
        <v>216</v>
      </c>
      <c r="D813" t="s">
        <v>178</v>
      </c>
      <c r="E813" t="s">
        <v>925</v>
      </c>
      <c r="F813" t="s">
        <v>1295</v>
      </c>
      <c r="G813" t="s">
        <v>2630</v>
      </c>
      <c r="H813" t="s">
        <v>3271</v>
      </c>
      <c r="I813" t="s">
        <v>3494</v>
      </c>
      <c r="J813">
        <v>10301</v>
      </c>
      <c r="K813" t="s">
        <v>3522</v>
      </c>
      <c r="L813" t="s">
        <v>3525</v>
      </c>
      <c r="M813" t="s">
        <v>3880</v>
      </c>
      <c r="N813" t="s">
        <v>4109</v>
      </c>
      <c r="O813" t="s">
        <v>4134</v>
      </c>
      <c r="P813" t="s">
        <v>4140</v>
      </c>
      <c r="Q813" t="s">
        <v>4147</v>
      </c>
      <c r="R813" t="s">
        <v>3523</v>
      </c>
      <c r="T813" t="s">
        <v>4156</v>
      </c>
      <c r="U813" t="s">
        <v>4169</v>
      </c>
      <c r="V813" t="s">
        <v>272</v>
      </c>
      <c r="W813">
        <v>1717</v>
      </c>
      <c r="X813" t="s">
        <v>4195</v>
      </c>
      <c r="Y813" t="s">
        <v>4203</v>
      </c>
      <c r="Z813" t="s">
        <v>4925</v>
      </c>
      <c r="AB813" t="s">
        <v>6272</v>
      </c>
      <c r="AC813">
        <v>454</v>
      </c>
      <c r="AE813" t="s">
        <v>3526</v>
      </c>
      <c r="AF813">
        <v>1</v>
      </c>
      <c r="AG813">
        <v>1</v>
      </c>
      <c r="AH813">
        <v>2</v>
      </c>
      <c r="AI813">
        <v>119.46</v>
      </c>
      <c r="AL813" t="s">
        <v>6801</v>
      </c>
      <c r="AM813">
        <v>25479.96</v>
      </c>
      <c r="AO813" t="s">
        <v>6920</v>
      </c>
      <c r="AP813" t="s">
        <v>6939</v>
      </c>
      <c r="AQ813" t="s">
        <v>6945</v>
      </c>
      <c r="AR813" t="s">
        <v>6984</v>
      </c>
    </row>
    <row r="814" spans="1:44">
      <c r="A814" s="1">
        <f>HYPERLINK("https://lsnyc.legalserver.org/matter/dynamic-profile/view/1904920","19-1904920")</f>
        <v>0</v>
      </c>
      <c r="B814" t="s">
        <v>69</v>
      </c>
      <c r="C814" t="s">
        <v>272</v>
      </c>
      <c r="D814" t="s">
        <v>213</v>
      </c>
      <c r="E814" t="s">
        <v>692</v>
      </c>
      <c r="F814" t="s">
        <v>1336</v>
      </c>
      <c r="G814" t="s">
        <v>2764</v>
      </c>
      <c r="H814" t="s">
        <v>3365</v>
      </c>
      <c r="I814" t="s">
        <v>3490</v>
      </c>
      <c r="J814">
        <v>11233</v>
      </c>
      <c r="K814" t="s">
        <v>3522</v>
      </c>
      <c r="L814" t="s">
        <v>3525</v>
      </c>
      <c r="M814" t="s">
        <v>3881</v>
      </c>
      <c r="N814" t="s">
        <v>4109</v>
      </c>
      <c r="O814" t="s">
        <v>4132</v>
      </c>
      <c r="P814" t="s">
        <v>4139</v>
      </c>
      <c r="Q814" t="s">
        <v>4147</v>
      </c>
      <c r="R814" t="s">
        <v>3523</v>
      </c>
      <c r="T814" t="s">
        <v>4156</v>
      </c>
      <c r="U814" t="s">
        <v>4168</v>
      </c>
      <c r="V814" t="s">
        <v>241</v>
      </c>
      <c r="W814">
        <v>2100</v>
      </c>
      <c r="X814" t="s">
        <v>4193</v>
      </c>
      <c r="Y814" t="s">
        <v>4212</v>
      </c>
      <c r="Z814" t="s">
        <v>4926</v>
      </c>
      <c r="AA814" t="s">
        <v>5505</v>
      </c>
      <c r="AB814" t="s">
        <v>6273</v>
      </c>
      <c r="AC814">
        <v>3</v>
      </c>
      <c r="AD814" t="s">
        <v>6771</v>
      </c>
      <c r="AE814" t="s">
        <v>4200</v>
      </c>
      <c r="AF814">
        <v>1</v>
      </c>
      <c r="AG814">
        <v>1</v>
      </c>
      <c r="AH814">
        <v>1</v>
      </c>
      <c r="AI814">
        <v>119.79</v>
      </c>
      <c r="AL814" t="s">
        <v>6801</v>
      </c>
      <c r="AM814">
        <v>20256</v>
      </c>
    </row>
    <row r="815" spans="1:44">
      <c r="A815" s="1">
        <f>HYPERLINK("https://lsnyc.legalserver.org/matter/dynamic-profile/view/1909626","19-1909626")</f>
        <v>0</v>
      </c>
      <c r="B815" t="s">
        <v>47</v>
      </c>
      <c r="C815" t="s">
        <v>231</v>
      </c>
      <c r="E815" t="s">
        <v>926</v>
      </c>
      <c r="F815" t="s">
        <v>1788</v>
      </c>
      <c r="G815" t="s">
        <v>2765</v>
      </c>
      <c r="I815" t="s">
        <v>3517</v>
      </c>
      <c r="J815">
        <v>11418</v>
      </c>
      <c r="K815" t="s">
        <v>3522</v>
      </c>
      <c r="L815" t="s">
        <v>3525</v>
      </c>
      <c r="M815" t="s">
        <v>3882</v>
      </c>
      <c r="N815" t="s">
        <v>4107</v>
      </c>
      <c r="O815" t="s">
        <v>4132</v>
      </c>
      <c r="Q815" t="s">
        <v>4147</v>
      </c>
      <c r="R815" t="s">
        <v>3523</v>
      </c>
      <c r="T815" t="s">
        <v>4156</v>
      </c>
      <c r="V815" t="s">
        <v>231</v>
      </c>
      <c r="W815">
        <v>400</v>
      </c>
      <c r="X815" t="s">
        <v>4192</v>
      </c>
      <c r="Y815" t="s">
        <v>4197</v>
      </c>
      <c r="Z815" t="s">
        <v>4927</v>
      </c>
      <c r="AA815" t="s">
        <v>5613</v>
      </c>
      <c r="AB815" t="s">
        <v>6274</v>
      </c>
      <c r="AC815">
        <v>2</v>
      </c>
      <c r="AD815" t="s">
        <v>5524</v>
      </c>
      <c r="AE815" t="s">
        <v>3526</v>
      </c>
      <c r="AF815">
        <v>-1</v>
      </c>
      <c r="AG815">
        <v>1</v>
      </c>
      <c r="AH815">
        <v>0</v>
      </c>
      <c r="AI815">
        <v>120.1</v>
      </c>
      <c r="AL815" t="s">
        <v>6801</v>
      </c>
      <c r="AM815">
        <v>15000</v>
      </c>
    </row>
    <row r="816" spans="1:44">
      <c r="A816" s="1">
        <f>HYPERLINK("https://lsnyc.legalserver.org/matter/dynamic-profile/view/1905904","19-1905904")</f>
        <v>0</v>
      </c>
      <c r="B816" t="s">
        <v>46</v>
      </c>
      <c r="C816" t="s">
        <v>228</v>
      </c>
      <c r="E816" t="s">
        <v>927</v>
      </c>
      <c r="F816" t="s">
        <v>734</v>
      </c>
      <c r="G816" t="s">
        <v>2766</v>
      </c>
      <c r="I816" t="s">
        <v>3488</v>
      </c>
      <c r="J816">
        <v>11354</v>
      </c>
      <c r="K816" t="s">
        <v>3522</v>
      </c>
      <c r="L816" t="s">
        <v>3525</v>
      </c>
      <c r="M816" t="s">
        <v>3883</v>
      </c>
      <c r="N816" t="s">
        <v>4131</v>
      </c>
      <c r="O816" t="s">
        <v>4134</v>
      </c>
      <c r="Q816" t="s">
        <v>4147</v>
      </c>
      <c r="R816" t="s">
        <v>3523</v>
      </c>
      <c r="S816" t="s">
        <v>4147</v>
      </c>
      <c r="T816" t="s">
        <v>4156</v>
      </c>
      <c r="U816" t="s">
        <v>4168</v>
      </c>
      <c r="V816" t="s">
        <v>381</v>
      </c>
      <c r="W816">
        <v>1100</v>
      </c>
      <c r="X816" t="s">
        <v>4192</v>
      </c>
      <c r="Y816" t="s">
        <v>4201</v>
      </c>
      <c r="Z816" t="s">
        <v>4928</v>
      </c>
      <c r="AB816" t="s">
        <v>6275</v>
      </c>
      <c r="AC816">
        <v>2</v>
      </c>
      <c r="AD816" t="s">
        <v>6771</v>
      </c>
      <c r="AE816" t="s">
        <v>3526</v>
      </c>
      <c r="AF816">
        <v>1</v>
      </c>
      <c r="AG816">
        <v>1</v>
      </c>
      <c r="AH816">
        <v>0</v>
      </c>
      <c r="AI816">
        <v>120.1</v>
      </c>
      <c r="AL816" t="s">
        <v>6805</v>
      </c>
      <c r="AM816">
        <v>15000</v>
      </c>
    </row>
    <row r="817" spans="1:44">
      <c r="A817" s="1">
        <f>HYPERLINK("https://lsnyc.legalserver.org/matter/dynamic-profile/view/1906690","19-1906690")</f>
        <v>0</v>
      </c>
      <c r="B817" t="s">
        <v>166</v>
      </c>
      <c r="C817" t="s">
        <v>250</v>
      </c>
      <c r="E817" t="s">
        <v>927</v>
      </c>
      <c r="F817" t="s">
        <v>734</v>
      </c>
      <c r="G817" t="s">
        <v>2766</v>
      </c>
      <c r="I817" t="s">
        <v>3488</v>
      </c>
      <c r="J817">
        <v>11354</v>
      </c>
      <c r="K817" t="s">
        <v>3522</v>
      </c>
      <c r="L817" t="s">
        <v>3525</v>
      </c>
      <c r="M817" t="s">
        <v>3884</v>
      </c>
      <c r="N817" t="s">
        <v>4128</v>
      </c>
      <c r="O817" t="s">
        <v>4137</v>
      </c>
      <c r="Q817" t="s">
        <v>4147</v>
      </c>
      <c r="R817" t="s">
        <v>3523</v>
      </c>
      <c r="T817" t="s">
        <v>4156</v>
      </c>
      <c r="U817" t="s">
        <v>4168</v>
      </c>
      <c r="V817" t="s">
        <v>250</v>
      </c>
      <c r="W817">
        <v>1100</v>
      </c>
      <c r="X817" t="s">
        <v>4192</v>
      </c>
      <c r="Y817" t="s">
        <v>4201</v>
      </c>
      <c r="Z817" t="s">
        <v>4928</v>
      </c>
      <c r="AA817" t="s">
        <v>5482</v>
      </c>
      <c r="AB817" t="s">
        <v>6275</v>
      </c>
      <c r="AC817">
        <v>2</v>
      </c>
      <c r="AD817" t="s">
        <v>6771</v>
      </c>
      <c r="AE817" t="s">
        <v>3526</v>
      </c>
      <c r="AF817">
        <v>1</v>
      </c>
      <c r="AG817">
        <v>1</v>
      </c>
      <c r="AH817">
        <v>0</v>
      </c>
      <c r="AI817">
        <v>120.1</v>
      </c>
      <c r="AL817" t="s">
        <v>6805</v>
      </c>
      <c r="AM817">
        <v>15000</v>
      </c>
      <c r="AP817" t="s">
        <v>4200</v>
      </c>
    </row>
    <row r="818" spans="1:44">
      <c r="A818" s="1">
        <f>HYPERLINK("https://lsnyc.legalserver.org/matter/dynamic-profile/view/1911774","19-1911774")</f>
        <v>0</v>
      </c>
      <c r="B818" t="s">
        <v>82</v>
      </c>
      <c r="C818" t="s">
        <v>194</v>
      </c>
      <c r="D818" t="s">
        <v>178</v>
      </c>
      <c r="E818" t="s">
        <v>656</v>
      </c>
      <c r="F818" t="s">
        <v>1789</v>
      </c>
      <c r="G818" t="s">
        <v>2767</v>
      </c>
      <c r="H818">
        <v>1</v>
      </c>
      <c r="I818" t="s">
        <v>3493</v>
      </c>
      <c r="J818">
        <v>10452</v>
      </c>
      <c r="K818" t="s">
        <v>3522</v>
      </c>
      <c r="L818" t="s">
        <v>3525</v>
      </c>
      <c r="N818" t="s">
        <v>4111</v>
      </c>
      <c r="O818" t="s">
        <v>4132</v>
      </c>
      <c r="P818" t="s">
        <v>4139</v>
      </c>
      <c r="Q818" t="s">
        <v>4147</v>
      </c>
      <c r="T818" t="s">
        <v>4159</v>
      </c>
      <c r="U818" t="s">
        <v>4168</v>
      </c>
      <c r="V818" t="s">
        <v>295</v>
      </c>
      <c r="W818">
        <v>0</v>
      </c>
      <c r="X818" t="s">
        <v>4194</v>
      </c>
      <c r="Z818" t="s">
        <v>4929</v>
      </c>
      <c r="AB818" t="s">
        <v>6276</v>
      </c>
      <c r="AC818">
        <v>0</v>
      </c>
      <c r="AD818" t="s">
        <v>6771</v>
      </c>
      <c r="AF818">
        <v>0</v>
      </c>
      <c r="AG818">
        <v>1</v>
      </c>
      <c r="AH818">
        <v>0</v>
      </c>
      <c r="AI818">
        <v>120.1</v>
      </c>
      <c r="AL818" t="s">
        <v>6802</v>
      </c>
      <c r="AM818">
        <v>15000</v>
      </c>
    </row>
    <row r="819" spans="1:44">
      <c r="A819" s="1">
        <f>HYPERLINK("https://lsnyc.legalserver.org/matter/dynamic-profile/view/1908290","19-1908290")</f>
        <v>0</v>
      </c>
      <c r="B819" t="s">
        <v>108</v>
      </c>
      <c r="C819" t="s">
        <v>211</v>
      </c>
      <c r="D819" t="s">
        <v>360</v>
      </c>
      <c r="E819" t="s">
        <v>928</v>
      </c>
      <c r="F819" t="s">
        <v>1790</v>
      </c>
      <c r="G819" t="s">
        <v>2768</v>
      </c>
      <c r="H819" t="s">
        <v>3216</v>
      </c>
      <c r="I819" t="s">
        <v>3505</v>
      </c>
      <c r="J819">
        <v>11365</v>
      </c>
      <c r="K819" t="s">
        <v>3522</v>
      </c>
      <c r="L819" t="s">
        <v>3525</v>
      </c>
      <c r="M819" t="s">
        <v>3885</v>
      </c>
      <c r="N819" t="s">
        <v>4109</v>
      </c>
      <c r="O819" t="s">
        <v>4135</v>
      </c>
      <c r="P819" t="s">
        <v>4142</v>
      </c>
      <c r="Q819" t="s">
        <v>4147</v>
      </c>
      <c r="R819" t="s">
        <v>3523</v>
      </c>
      <c r="T819" t="s">
        <v>4156</v>
      </c>
      <c r="U819" t="s">
        <v>4169</v>
      </c>
      <c r="V819" t="s">
        <v>360</v>
      </c>
      <c r="W819">
        <v>1609</v>
      </c>
      <c r="X819" t="s">
        <v>4192</v>
      </c>
      <c r="Y819" t="s">
        <v>4197</v>
      </c>
      <c r="Z819" t="s">
        <v>4930</v>
      </c>
      <c r="AA819" t="s">
        <v>5614</v>
      </c>
      <c r="AB819" t="s">
        <v>6277</v>
      </c>
      <c r="AC819">
        <v>9</v>
      </c>
      <c r="AD819" t="s">
        <v>5524</v>
      </c>
      <c r="AE819" t="s">
        <v>6791</v>
      </c>
      <c r="AF819">
        <v>28</v>
      </c>
      <c r="AG819">
        <v>1</v>
      </c>
      <c r="AH819">
        <v>0</v>
      </c>
      <c r="AI819">
        <v>120.19</v>
      </c>
      <c r="AL819" t="s">
        <v>6801</v>
      </c>
      <c r="AM819">
        <v>15012</v>
      </c>
    </row>
    <row r="820" spans="1:44">
      <c r="A820" s="1">
        <f>HYPERLINK("https://lsnyc.legalserver.org/matter/dynamic-profile/view/1909092","19-1909092")</f>
        <v>0</v>
      </c>
      <c r="B820" t="s">
        <v>54</v>
      </c>
      <c r="C820" t="s">
        <v>275</v>
      </c>
      <c r="E820" t="s">
        <v>929</v>
      </c>
      <c r="F820" t="s">
        <v>1791</v>
      </c>
      <c r="G820" t="s">
        <v>2199</v>
      </c>
      <c r="H820" t="s">
        <v>3366</v>
      </c>
      <c r="I820" t="s">
        <v>3490</v>
      </c>
      <c r="J820">
        <v>11233</v>
      </c>
      <c r="K820" t="s">
        <v>3522</v>
      </c>
      <c r="L820" t="s">
        <v>3526</v>
      </c>
      <c r="M820" t="s">
        <v>3550</v>
      </c>
      <c r="N820" t="s">
        <v>4110</v>
      </c>
      <c r="O820" t="s">
        <v>4137</v>
      </c>
      <c r="Q820" t="s">
        <v>4147</v>
      </c>
      <c r="R820" t="s">
        <v>3522</v>
      </c>
      <c r="T820" t="s">
        <v>4156</v>
      </c>
      <c r="U820" t="s">
        <v>4168</v>
      </c>
      <c r="V820" t="s">
        <v>4175</v>
      </c>
      <c r="W820">
        <v>1059</v>
      </c>
      <c r="X820" t="s">
        <v>4193</v>
      </c>
      <c r="Y820" t="s">
        <v>4200</v>
      </c>
      <c r="Z820" t="s">
        <v>4931</v>
      </c>
      <c r="AC820">
        <v>359</v>
      </c>
      <c r="AD820" t="s">
        <v>6772</v>
      </c>
      <c r="AE820" t="s">
        <v>3526</v>
      </c>
      <c r="AF820">
        <v>18</v>
      </c>
      <c r="AG820">
        <v>2</v>
      </c>
      <c r="AH820">
        <v>2</v>
      </c>
      <c r="AI820">
        <v>120.39</v>
      </c>
      <c r="AL820" t="s">
        <v>6801</v>
      </c>
      <c r="AM820">
        <v>31000</v>
      </c>
      <c r="AN820" t="s">
        <v>6860</v>
      </c>
    </row>
    <row r="821" spans="1:44">
      <c r="A821" s="1">
        <f>HYPERLINK("https://lsnyc.legalserver.org/matter/dynamic-profile/view/1913357","19-1913357")</f>
        <v>0</v>
      </c>
      <c r="B821" t="s">
        <v>49</v>
      </c>
      <c r="C821" t="s">
        <v>192</v>
      </c>
      <c r="E821" t="s">
        <v>930</v>
      </c>
      <c r="F821" t="s">
        <v>1268</v>
      </c>
      <c r="G821" t="s">
        <v>2769</v>
      </c>
      <c r="H821" t="s">
        <v>3159</v>
      </c>
      <c r="I821" t="s">
        <v>3506</v>
      </c>
      <c r="J821">
        <v>11422</v>
      </c>
      <c r="K821" t="s">
        <v>3522</v>
      </c>
      <c r="L821" t="s">
        <v>3525</v>
      </c>
      <c r="M821" t="s">
        <v>3886</v>
      </c>
      <c r="N821" t="s">
        <v>4107</v>
      </c>
      <c r="O821" t="s">
        <v>4132</v>
      </c>
      <c r="Q821" t="s">
        <v>4147</v>
      </c>
      <c r="R821" t="s">
        <v>3523</v>
      </c>
      <c r="T821" t="s">
        <v>4156</v>
      </c>
      <c r="U821" t="s">
        <v>4168</v>
      </c>
      <c r="V821" t="s">
        <v>4174</v>
      </c>
      <c r="W821">
        <v>1300</v>
      </c>
      <c r="X821" t="s">
        <v>4192</v>
      </c>
      <c r="Y821" t="s">
        <v>4197</v>
      </c>
      <c r="Z821" t="s">
        <v>4932</v>
      </c>
      <c r="AA821" t="s">
        <v>5482</v>
      </c>
      <c r="AB821" t="s">
        <v>6278</v>
      </c>
      <c r="AC821">
        <v>2</v>
      </c>
      <c r="AD821" t="s">
        <v>6771</v>
      </c>
      <c r="AE821" t="s">
        <v>6786</v>
      </c>
      <c r="AF821">
        <v>13</v>
      </c>
      <c r="AG821">
        <v>1</v>
      </c>
      <c r="AH821">
        <v>0</v>
      </c>
      <c r="AI821">
        <v>120.48</v>
      </c>
      <c r="AL821" t="s">
        <v>6801</v>
      </c>
      <c r="AM821">
        <v>15048</v>
      </c>
    </row>
    <row r="822" spans="1:44">
      <c r="A822" s="1">
        <f>HYPERLINK("https://lsnyc.legalserver.org/matter/dynamic-profile/view/1913043","19-1913043")</f>
        <v>0</v>
      </c>
      <c r="B822" t="s">
        <v>70</v>
      </c>
      <c r="C822" t="s">
        <v>314</v>
      </c>
      <c r="E822" t="s">
        <v>579</v>
      </c>
      <c r="F822" t="s">
        <v>1792</v>
      </c>
      <c r="G822" t="s">
        <v>2770</v>
      </c>
      <c r="H822" t="s">
        <v>3158</v>
      </c>
      <c r="I822" t="s">
        <v>3490</v>
      </c>
      <c r="J822">
        <v>11213</v>
      </c>
      <c r="K822" t="s">
        <v>3522</v>
      </c>
      <c r="L822" t="s">
        <v>3525</v>
      </c>
      <c r="M822" t="s">
        <v>3568</v>
      </c>
      <c r="N822" t="s">
        <v>4119</v>
      </c>
      <c r="O822" t="s">
        <v>4138</v>
      </c>
      <c r="Q822" t="s">
        <v>4147</v>
      </c>
      <c r="R822" t="s">
        <v>3522</v>
      </c>
      <c r="T822" t="s">
        <v>4160</v>
      </c>
      <c r="U822" t="s">
        <v>4168</v>
      </c>
      <c r="V822" t="s">
        <v>253</v>
      </c>
      <c r="W822">
        <v>850</v>
      </c>
      <c r="X822" t="s">
        <v>4193</v>
      </c>
      <c r="Y822" t="s">
        <v>4198</v>
      </c>
      <c r="Z822" t="s">
        <v>4933</v>
      </c>
      <c r="AA822" t="s">
        <v>3526</v>
      </c>
      <c r="AB822" t="s">
        <v>6279</v>
      </c>
      <c r="AC822">
        <v>19</v>
      </c>
      <c r="AD822" t="s">
        <v>6772</v>
      </c>
      <c r="AE822" t="s">
        <v>3526</v>
      </c>
      <c r="AF822">
        <v>5</v>
      </c>
      <c r="AG822">
        <v>1</v>
      </c>
      <c r="AH822">
        <v>2</v>
      </c>
      <c r="AI822">
        <v>120.68</v>
      </c>
      <c r="AL822" t="s">
        <v>6801</v>
      </c>
      <c r="AM822">
        <v>25740</v>
      </c>
      <c r="AN822" t="s">
        <v>6861</v>
      </c>
    </row>
    <row r="823" spans="1:44">
      <c r="A823" s="1">
        <f>HYPERLINK("https://lsnyc.legalserver.org/matter/dynamic-profile/view/1904974","19-1904974")</f>
        <v>0</v>
      </c>
      <c r="B823" t="s">
        <v>89</v>
      </c>
      <c r="C823" t="s">
        <v>272</v>
      </c>
      <c r="E823" t="s">
        <v>931</v>
      </c>
      <c r="F823" t="s">
        <v>1793</v>
      </c>
      <c r="G823" t="s">
        <v>2771</v>
      </c>
      <c r="H823" t="s">
        <v>3367</v>
      </c>
      <c r="I823" t="s">
        <v>3495</v>
      </c>
      <c r="J823">
        <v>10034</v>
      </c>
      <c r="K823" t="s">
        <v>3522</v>
      </c>
      <c r="L823" t="s">
        <v>3525</v>
      </c>
      <c r="O823" t="s">
        <v>4136</v>
      </c>
      <c r="Q823" t="s">
        <v>4147</v>
      </c>
      <c r="R823" t="s">
        <v>3523</v>
      </c>
      <c r="T823" t="s">
        <v>4156</v>
      </c>
      <c r="V823" t="s">
        <v>272</v>
      </c>
      <c r="W823">
        <v>640</v>
      </c>
      <c r="X823" t="s">
        <v>4196</v>
      </c>
      <c r="Y823" t="s">
        <v>4205</v>
      </c>
      <c r="Z823" t="s">
        <v>4934</v>
      </c>
      <c r="AB823" t="s">
        <v>6280</v>
      </c>
      <c r="AC823">
        <v>126</v>
      </c>
      <c r="AD823" t="s">
        <v>6772</v>
      </c>
      <c r="AE823" t="s">
        <v>6786</v>
      </c>
      <c r="AF823">
        <v>15</v>
      </c>
      <c r="AG823">
        <v>3</v>
      </c>
      <c r="AH823">
        <v>0</v>
      </c>
      <c r="AI823">
        <v>120.68</v>
      </c>
      <c r="AL823" t="s">
        <v>6802</v>
      </c>
      <c r="AM823">
        <v>25740</v>
      </c>
    </row>
    <row r="824" spans="1:44">
      <c r="A824" s="1">
        <f>HYPERLINK("https://lsnyc.legalserver.org/matter/dynamic-profile/view/1903642","19-1903642")</f>
        <v>0</v>
      </c>
      <c r="B824" t="s">
        <v>65</v>
      </c>
      <c r="C824" t="s">
        <v>336</v>
      </c>
      <c r="E824" t="s">
        <v>932</v>
      </c>
      <c r="F824" t="s">
        <v>1398</v>
      </c>
      <c r="G824" t="s">
        <v>2640</v>
      </c>
      <c r="H824" t="s">
        <v>3170</v>
      </c>
      <c r="I824" t="s">
        <v>3490</v>
      </c>
      <c r="J824">
        <v>11220</v>
      </c>
      <c r="K824" t="s">
        <v>3522</v>
      </c>
      <c r="L824" t="s">
        <v>3525</v>
      </c>
      <c r="N824" t="s">
        <v>4108</v>
      </c>
      <c r="O824" t="s">
        <v>4134</v>
      </c>
      <c r="Q824" t="s">
        <v>4147</v>
      </c>
      <c r="R824" t="s">
        <v>3522</v>
      </c>
      <c r="S824" t="s">
        <v>4149</v>
      </c>
      <c r="T824" t="s">
        <v>4156</v>
      </c>
      <c r="V824" t="s">
        <v>336</v>
      </c>
      <c r="W824">
        <v>745</v>
      </c>
      <c r="X824" t="s">
        <v>4193</v>
      </c>
      <c r="Z824" t="s">
        <v>4935</v>
      </c>
      <c r="AB824" t="s">
        <v>6281</v>
      </c>
      <c r="AC824">
        <v>54</v>
      </c>
      <c r="AD824" t="s">
        <v>6772</v>
      </c>
      <c r="AF824">
        <v>40</v>
      </c>
      <c r="AG824">
        <v>3</v>
      </c>
      <c r="AH824">
        <v>3</v>
      </c>
      <c r="AI824">
        <v>120.73</v>
      </c>
      <c r="AL824" t="s">
        <v>6801</v>
      </c>
      <c r="AM824">
        <v>41760</v>
      </c>
    </row>
    <row r="825" spans="1:44">
      <c r="A825" s="1">
        <f>HYPERLINK("https://lsnyc.legalserver.org/matter/dynamic-profile/view/1908797","19-1908797")</f>
        <v>0</v>
      </c>
      <c r="B825" t="s">
        <v>100</v>
      </c>
      <c r="C825" t="s">
        <v>236</v>
      </c>
      <c r="E825" t="s">
        <v>429</v>
      </c>
      <c r="F825" t="s">
        <v>1794</v>
      </c>
      <c r="G825" t="s">
        <v>2772</v>
      </c>
      <c r="H825" t="s">
        <v>3179</v>
      </c>
      <c r="I825" t="s">
        <v>3490</v>
      </c>
      <c r="J825">
        <v>11208</v>
      </c>
      <c r="K825" t="s">
        <v>3522</v>
      </c>
      <c r="L825" t="s">
        <v>3525</v>
      </c>
      <c r="M825" t="s">
        <v>3887</v>
      </c>
      <c r="N825" t="s">
        <v>4107</v>
      </c>
      <c r="O825" t="s">
        <v>4132</v>
      </c>
      <c r="Q825" t="s">
        <v>4147</v>
      </c>
      <c r="R825" t="s">
        <v>3523</v>
      </c>
      <c r="T825" t="s">
        <v>4156</v>
      </c>
      <c r="V825" t="s">
        <v>224</v>
      </c>
      <c r="W825">
        <v>0</v>
      </c>
      <c r="X825" t="s">
        <v>4193</v>
      </c>
      <c r="Y825" t="s">
        <v>4197</v>
      </c>
      <c r="Z825" t="s">
        <v>4936</v>
      </c>
      <c r="AA825" t="s">
        <v>5615</v>
      </c>
      <c r="AB825" t="s">
        <v>6282</v>
      </c>
      <c r="AC825">
        <v>0</v>
      </c>
      <c r="AF825">
        <v>0</v>
      </c>
      <c r="AG825">
        <v>1</v>
      </c>
      <c r="AH825">
        <v>0</v>
      </c>
      <c r="AI825">
        <v>120.77</v>
      </c>
      <c r="AL825" t="s">
        <v>6801</v>
      </c>
      <c r="AM825">
        <v>15084</v>
      </c>
    </row>
    <row r="826" spans="1:44">
      <c r="A826" s="1">
        <f>HYPERLINK("https://lsnyc.legalserver.org/matter/dynamic-profile/view/1908612","19-1908612")</f>
        <v>0</v>
      </c>
      <c r="B826" t="s">
        <v>47</v>
      </c>
      <c r="C826" t="s">
        <v>279</v>
      </c>
      <c r="E826" t="s">
        <v>933</v>
      </c>
      <c r="F826" t="s">
        <v>1404</v>
      </c>
      <c r="G826" t="s">
        <v>2773</v>
      </c>
      <c r="I826" t="s">
        <v>3518</v>
      </c>
      <c r="J826">
        <v>11362</v>
      </c>
      <c r="K826" t="s">
        <v>3522</v>
      </c>
      <c r="L826" t="s">
        <v>3525</v>
      </c>
      <c r="M826" t="s">
        <v>3888</v>
      </c>
      <c r="N826" t="s">
        <v>4107</v>
      </c>
      <c r="O826" t="s">
        <v>4132</v>
      </c>
      <c r="Q826" t="s">
        <v>4147</v>
      </c>
      <c r="R826" t="s">
        <v>3523</v>
      </c>
      <c r="T826" t="s">
        <v>4156</v>
      </c>
      <c r="U826" t="s">
        <v>4168</v>
      </c>
      <c r="V826" t="s">
        <v>279</v>
      </c>
      <c r="W826">
        <v>0</v>
      </c>
      <c r="X826" t="s">
        <v>4192</v>
      </c>
      <c r="Y826" t="s">
        <v>4197</v>
      </c>
      <c r="Z826" t="s">
        <v>4937</v>
      </c>
      <c r="AA826" t="s">
        <v>5482</v>
      </c>
      <c r="AB826" t="s">
        <v>6283</v>
      </c>
      <c r="AC826">
        <v>1</v>
      </c>
      <c r="AD826" t="s">
        <v>5524</v>
      </c>
      <c r="AE826" t="s">
        <v>3526</v>
      </c>
      <c r="AF826">
        <v>1</v>
      </c>
      <c r="AG826">
        <v>4</v>
      </c>
      <c r="AH826">
        <v>0</v>
      </c>
      <c r="AI826">
        <v>121.17</v>
      </c>
      <c r="AL826" t="s">
        <v>6801</v>
      </c>
      <c r="AM826">
        <v>31200</v>
      </c>
    </row>
    <row r="827" spans="1:44">
      <c r="A827" s="1">
        <f>HYPERLINK("https://lsnyc.legalserver.org/matter/dynamic-profile/view/1901865","19-1901865")</f>
        <v>0</v>
      </c>
      <c r="B827" t="s">
        <v>61</v>
      </c>
      <c r="C827" t="s">
        <v>346</v>
      </c>
      <c r="D827" t="s">
        <v>184</v>
      </c>
      <c r="E827" t="s">
        <v>934</v>
      </c>
      <c r="F827" t="s">
        <v>1795</v>
      </c>
      <c r="G827" t="s">
        <v>2774</v>
      </c>
      <c r="H827" t="s">
        <v>3368</v>
      </c>
      <c r="I827" t="s">
        <v>3490</v>
      </c>
      <c r="J827">
        <v>11219</v>
      </c>
      <c r="K827" t="s">
        <v>3522</v>
      </c>
      <c r="L827" t="s">
        <v>3525</v>
      </c>
      <c r="M827" t="s">
        <v>3889</v>
      </c>
      <c r="N827" t="s">
        <v>4109</v>
      </c>
      <c r="O827" t="s">
        <v>4134</v>
      </c>
      <c r="P827" t="s">
        <v>4140</v>
      </c>
      <c r="Q827" t="s">
        <v>4147</v>
      </c>
      <c r="R827" t="s">
        <v>3523</v>
      </c>
      <c r="T827" t="s">
        <v>4156</v>
      </c>
      <c r="V827" t="s">
        <v>336</v>
      </c>
      <c r="W827">
        <v>1000</v>
      </c>
      <c r="X827" t="s">
        <v>4193</v>
      </c>
      <c r="Y827" t="s">
        <v>4203</v>
      </c>
      <c r="Z827" t="s">
        <v>4938</v>
      </c>
      <c r="AB827" t="s">
        <v>6284</v>
      </c>
      <c r="AC827">
        <v>35</v>
      </c>
      <c r="AD827" t="s">
        <v>6772</v>
      </c>
      <c r="AE827" t="s">
        <v>3526</v>
      </c>
      <c r="AF827">
        <v>12</v>
      </c>
      <c r="AG827">
        <v>4</v>
      </c>
      <c r="AH827">
        <v>0</v>
      </c>
      <c r="AI827">
        <v>121.17</v>
      </c>
      <c r="AL827" t="s">
        <v>6802</v>
      </c>
      <c r="AM827">
        <v>31200</v>
      </c>
      <c r="AO827" t="s">
        <v>6916</v>
      </c>
      <c r="AP827" t="s">
        <v>6924</v>
      </c>
      <c r="AQ827" t="s">
        <v>6945</v>
      </c>
      <c r="AR827" t="s">
        <v>7000</v>
      </c>
    </row>
    <row r="828" spans="1:44">
      <c r="A828" s="1">
        <f>HYPERLINK("https://lsnyc.legalserver.org/matter/dynamic-profile/view/1914573","19-1914573")</f>
        <v>0</v>
      </c>
      <c r="B828" t="s">
        <v>69</v>
      </c>
      <c r="C828" t="s">
        <v>273</v>
      </c>
      <c r="E828" t="s">
        <v>935</v>
      </c>
      <c r="F828" t="s">
        <v>1305</v>
      </c>
      <c r="G828" t="s">
        <v>2775</v>
      </c>
      <c r="H828" t="s">
        <v>3146</v>
      </c>
      <c r="I828" t="s">
        <v>3490</v>
      </c>
      <c r="J828">
        <v>11208</v>
      </c>
      <c r="K828" t="s">
        <v>3522</v>
      </c>
      <c r="L828" t="s">
        <v>3525</v>
      </c>
      <c r="M828" t="s">
        <v>3890</v>
      </c>
      <c r="N828" t="s">
        <v>4109</v>
      </c>
      <c r="O828" t="s">
        <v>4136</v>
      </c>
      <c r="Q828" t="s">
        <v>4147</v>
      </c>
      <c r="R828" t="s">
        <v>3523</v>
      </c>
      <c r="T828" t="s">
        <v>4156</v>
      </c>
      <c r="U828" t="s">
        <v>4168</v>
      </c>
      <c r="V828" t="s">
        <v>289</v>
      </c>
      <c r="W828">
        <v>2850</v>
      </c>
      <c r="X828" t="s">
        <v>4193</v>
      </c>
      <c r="Y828" t="s">
        <v>4213</v>
      </c>
      <c r="Z828" t="s">
        <v>4939</v>
      </c>
      <c r="AA828" t="s">
        <v>5524</v>
      </c>
      <c r="AB828" t="s">
        <v>6285</v>
      </c>
      <c r="AC828">
        <v>6</v>
      </c>
      <c r="AD828" t="s">
        <v>6772</v>
      </c>
      <c r="AE828" t="s">
        <v>4200</v>
      </c>
      <c r="AF828">
        <v>2</v>
      </c>
      <c r="AG828">
        <v>4</v>
      </c>
      <c r="AH828">
        <v>0</v>
      </c>
      <c r="AI828">
        <v>121.17</v>
      </c>
      <c r="AL828" t="s">
        <v>6801</v>
      </c>
      <c r="AM828">
        <v>31200</v>
      </c>
    </row>
    <row r="829" spans="1:44">
      <c r="A829" s="1">
        <f>HYPERLINK("https://lsnyc.legalserver.org/matter/dynamic-profile/view/1863072","18-1863072")</f>
        <v>0</v>
      </c>
      <c r="B829" t="s">
        <v>164</v>
      </c>
      <c r="C829" t="s">
        <v>347</v>
      </c>
      <c r="D829" t="s">
        <v>200</v>
      </c>
      <c r="E829" t="s">
        <v>922</v>
      </c>
      <c r="F829" t="s">
        <v>1464</v>
      </c>
      <c r="G829" t="s">
        <v>2762</v>
      </c>
      <c r="H829" t="s">
        <v>3201</v>
      </c>
      <c r="I829" t="s">
        <v>3495</v>
      </c>
      <c r="J829">
        <v>10029</v>
      </c>
      <c r="K829" t="s">
        <v>3522</v>
      </c>
      <c r="L829" t="s">
        <v>3525</v>
      </c>
      <c r="N829" t="s">
        <v>3554</v>
      </c>
      <c r="O829" t="s">
        <v>4132</v>
      </c>
      <c r="P829" t="s">
        <v>4139</v>
      </c>
      <c r="Q829" t="s">
        <v>4147</v>
      </c>
      <c r="T829" t="s">
        <v>4166</v>
      </c>
      <c r="V829" t="s">
        <v>274</v>
      </c>
      <c r="W829">
        <v>487</v>
      </c>
      <c r="X829" t="s">
        <v>4196</v>
      </c>
      <c r="Y829" t="s">
        <v>4212</v>
      </c>
      <c r="Z829" t="s">
        <v>4921</v>
      </c>
      <c r="AB829" t="s">
        <v>6268</v>
      </c>
      <c r="AC829">
        <v>24</v>
      </c>
      <c r="AD829" t="s">
        <v>6772</v>
      </c>
      <c r="AF829">
        <v>4</v>
      </c>
      <c r="AG829">
        <v>2</v>
      </c>
      <c r="AH829">
        <v>0</v>
      </c>
      <c r="AI829">
        <v>121.51</v>
      </c>
      <c r="AL829" t="s">
        <v>6802</v>
      </c>
      <c r="AM829">
        <v>20000</v>
      </c>
    </row>
    <row r="830" spans="1:44">
      <c r="A830" s="1">
        <f>HYPERLINK("https://lsnyc.legalserver.org/matter/dynamic-profile/view/1912771","19-1912771")</f>
        <v>0</v>
      </c>
      <c r="B830" t="s">
        <v>103</v>
      </c>
      <c r="C830" t="s">
        <v>253</v>
      </c>
      <c r="D830" t="s">
        <v>245</v>
      </c>
      <c r="E830" t="s">
        <v>936</v>
      </c>
      <c r="F830" t="s">
        <v>1796</v>
      </c>
      <c r="G830" t="s">
        <v>2776</v>
      </c>
      <c r="H830" t="s">
        <v>3221</v>
      </c>
      <c r="I830" t="s">
        <v>3493</v>
      </c>
      <c r="J830">
        <v>10452</v>
      </c>
      <c r="K830" t="s">
        <v>3522</v>
      </c>
      <c r="L830" t="s">
        <v>3525</v>
      </c>
      <c r="N830" t="s">
        <v>4109</v>
      </c>
      <c r="O830" t="s">
        <v>4135</v>
      </c>
      <c r="P830" t="s">
        <v>4142</v>
      </c>
      <c r="Q830" t="s">
        <v>4147</v>
      </c>
      <c r="R830" t="s">
        <v>3523</v>
      </c>
      <c r="T830" t="s">
        <v>4156</v>
      </c>
      <c r="V830" t="s">
        <v>237</v>
      </c>
      <c r="W830">
        <v>1450</v>
      </c>
      <c r="X830" t="s">
        <v>4194</v>
      </c>
      <c r="Y830" t="s">
        <v>4206</v>
      </c>
      <c r="Z830" t="s">
        <v>4940</v>
      </c>
      <c r="AB830" t="s">
        <v>6286</v>
      </c>
      <c r="AC830">
        <v>52</v>
      </c>
      <c r="AD830" t="s">
        <v>6772</v>
      </c>
      <c r="AE830" t="s">
        <v>3526</v>
      </c>
      <c r="AF830">
        <v>6</v>
      </c>
      <c r="AG830">
        <v>1</v>
      </c>
      <c r="AH830">
        <v>1</v>
      </c>
      <c r="AI830">
        <v>121.82</v>
      </c>
      <c r="AL830" t="s">
        <v>6801</v>
      </c>
      <c r="AM830">
        <v>20600</v>
      </c>
    </row>
    <row r="831" spans="1:44">
      <c r="A831" s="1">
        <f>HYPERLINK("https://lsnyc.legalserver.org/matter/dynamic-profile/view/1903966","19-1903966")</f>
        <v>0</v>
      </c>
      <c r="B831" t="s">
        <v>167</v>
      </c>
      <c r="C831" t="s">
        <v>274</v>
      </c>
      <c r="E831" t="s">
        <v>937</v>
      </c>
      <c r="F831" t="s">
        <v>1797</v>
      </c>
      <c r="G831" t="s">
        <v>2777</v>
      </c>
      <c r="H831" t="s">
        <v>3369</v>
      </c>
      <c r="I831" t="s">
        <v>3490</v>
      </c>
      <c r="J831">
        <v>11236</v>
      </c>
      <c r="K831" t="s">
        <v>3522</v>
      </c>
      <c r="L831" t="s">
        <v>3525</v>
      </c>
      <c r="M831" t="s">
        <v>3891</v>
      </c>
      <c r="N831" t="s">
        <v>4119</v>
      </c>
      <c r="O831" t="s">
        <v>4132</v>
      </c>
      <c r="Q831" t="s">
        <v>4147</v>
      </c>
      <c r="R831" t="s">
        <v>3523</v>
      </c>
      <c r="T831" t="s">
        <v>4156</v>
      </c>
      <c r="V831" t="s">
        <v>274</v>
      </c>
      <c r="W831">
        <v>720</v>
      </c>
      <c r="X831" t="s">
        <v>4193</v>
      </c>
      <c r="Y831" t="s">
        <v>4200</v>
      </c>
      <c r="Z831" t="s">
        <v>4941</v>
      </c>
      <c r="AB831" t="s">
        <v>6287</v>
      </c>
      <c r="AC831">
        <v>6</v>
      </c>
      <c r="AD831" t="s">
        <v>6771</v>
      </c>
      <c r="AE831" t="s">
        <v>3526</v>
      </c>
      <c r="AF831">
        <v>9</v>
      </c>
      <c r="AG831">
        <v>2</v>
      </c>
      <c r="AH831">
        <v>1</v>
      </c>
      <c r="AI831">
        <v>121.89</v>
      </c>
      <c r="AL831" t="s">
        <v>6801</v>
      </c>
      <c r="AM831">
        <v>26000</v>
      </c>
    </row>
    <row r="832" spans="1:44">
      <c r="A832" s="1">
        <f>HYPERLINK("https://lsnyc.legalserver.org/matter/dynamic-profile/view/1915786","19-1915786")</f>
        <v>0</v>
      </c>
      <c r="B832" t="s">
        <v>91</v>
      </c>
      <c r="C832" t="s">
        <v>248</v>
      </c>
      <c r="D832" t="s">
        <v>248</v>
      </c>
      <c r="E832" t="s">
        <v>665</v>
      </c>
      <c r="F832" t="s">
        <v>1798</v>
      </c>
      <c r="G832" t="s">
        <v>2778</v>
      </c>
      <c r="H832" t="s">
        <v>3176</v>
      </c>
      <c r="I832" t="s">
        <v>3495</v>
      </c>
      <c r="J832">
        <v>10029</v>
      </c>
      <c r="K832" t="s">
        <v>3522</v>
      </c>
      <c r="L832" t="s">
        <v>3525</v>
      </c>
      <c r="N832" t="s">
        <v>3554</v>
      </c>
      <c r="O832" t="s">
        <v>4135</v>
      </c>
      <c r="P832" t="s">
        <v>4142</v>
      </c>
      <c r="Q832" t="s">
        <v>4147</v>
      </c>
      <c r="R832" t="s">
        <v>3523</v>
      </c>
      <c r="T832" t="s">
        <v>4156</v>
      </c>
      <c r="U832" t="s">
        <v>4168</v>
      </c>
      <c r="V832" t="s">
        <v>248</v>
      </c>
      <c r="W832">
        <v>900</v>
      </c>
      <c r="X832" t="s">
        <v>4196</v>
      </c>
      <c r="Y832" t="s">
        <v>4201</v>
      </c>
      <c r="Z832" t="s">
        <v>4942</v>
      </c>
      <c r="AB832" t="s">
        <v>6288</v>
      </c>
      <c r="AC832">
        <v>272</v>
      </c>
      <c r="AD832" t="s">
        <v>6778</v>
      </c>
      <c r="AE832" t="s">
        <v>6786</v>
      </c>
      <c r="AF832">
        <v>45</v>
      </c>
      <c r="AG832">
        <v>2</v>
      </c>
      <c r="AH832">
        <v>0</v>
      </c>
      <c r="AI832">
        <v>121.99</v>
      </c>
      <c r="AL832" t="s">
        <v>6801</v>
      </c>
      <c r="AM832">
        <v>20628</v>
      </c>
    </row>
    <row r="833" spans="1:44">
      <c r="A833" s="1">
        <f>HYPERLINK("https://lsnyc.legalserver.org/matter/dynamic-profile/view/1915787","19-1915787")</f>
        <v>0</v>
      </c>
      <c r="B833" t="s">
        <v>91</v>
      </c>
      <c r="C833" t="s">
        <v>248</v>
      </c>
      <c r="D833" t="s">
        <v>248</v>
      </c>
      <c r="E833" t="s">
        <v>665</v>
      </c>
      <c r="F833" t="s">
        <v>1798</v>
      </c>
      <c r="G833" t="s">
        <v>2778</v>
      </c>
      <c r="H833" t="s">
        <v>3176</v>
      </c>
      <c r="I833" t="s">
        <v>3495</v>
      </c>
      <c r="J833">
        <v>10029</v>
      </c>
      <c r="K833" t="s">
        <v>3522</v>
      </c>
      <c r="L833" t="s">
        <v>3525</v>
      </c>
      <c r="N833" t="s">
        <v>3554</v>
      </c>
      <c r="O833" t="s">
        <v>4135</v>
      </c>
      <c r="P833" t="s">
        <v>4142</v>
      </c>
      <c r="Q833" t="s">
        <v>4147</v>
      </c>
      <c r="R833" t="s">
        <v>3523</v>
      </c>
      <c r="T833" t="s">
        <v>4156</v>
      </c>
      <c r="U833" t="s">
        <v>4168</v>
      </c>
      <c r="V833" t="s">
        <v>248</v>
      </c>
      <c r="W833">
        <v>900</v>
      </c>
      <c r="X833" t="s">
        <v>4196</v>
      </c>
      <c r="Y833" t="s">
        <v>4201</v>
      </c>
      <c r="Z833" t="s">
        <v>4942</v>
      </c>
      <c r="AB833" t="s">
        <v>6288</v>
      </c>
      <c r="AC833">
        <v>272</v>
      </c>
      <c r="AD833" t="s">
        <v>6778</v>
      </c>
      <c r="AE833" t="s">
        <v>6786</v>
      </c>
      <c r="AF833">
        <v>45</v>
      </c>
      <c r="AG833">
        <v>2</v>
      </c>
      <c r="AH833">
        <v>0</v>
      </c>
      <c r="AI833">
        <v>121.99</v>
      </c>
      <c r="AL833" t="s">
        <v>6801</v>
      </c>
      <c r="AM833">
        <v>20628</v>
      </c>
    </row>
    <row r="834" spans="1:44">
      <c r="A834" s="1">
        <f>HYPERLINK("https://lsnyc.legalserver.org/matter/dynamic-profile/view/1909919","19-1909919")</f>
        <v>0</v>
      </c>
      <c r="B834" t="s">
        <v>91</v>
      </c>
      <c r="C834" t="s">
        <v>341</v>
      </c>
      <c r="D834" t="s">
        <v>248</v>
      </c>
      <c r="E834" t="s">
        <v>665</v>
      </c>
      <c r="F834" t="s">
        <v>1798</v>
      </c>
      <c r="G834" t="s">
        <v>2778</v>
      </c>
      <c r="H834" t="s">
        <v>3176</v>
      </c>
      <c r="I834" t="s">
        <v>3495</v>
      </c>
      <c r="J834">
        <v>10029</v>
      </c>
      <c r="K834" t="s">
        <v>3522</v>
      </c>
      <c r="L834" t="s">
        <v>3525</v>
      </c>
      <c r="N834" t="s">
        <v>4120</v>
      </c>
      <c r="O834" t="s">
        <v>4137</v>
      </c>
      <c r="P834" t="s">
        <v>4144</v>
      </c>
      <c r="Q834" t="s">
        <v>4147</v>
      </c>
      <c r="R834" t="s">
        <v>3523</v>
      </c>
      <c r="T834" t="s">
        <v>4156</v>
      </c>
      <c r="U834" t="s">
        <v>4168</v>
      </c>
      <c r="V834" t="s">
        <v>194</v>
      </c>
      <c r="W834">
        <v>900</v>
      </c>
      <c r="X834" t="s">
        <v>4196</v>
      </c>
      <c r="Y834" t="s">
        <v>4204</v>
      </c>
      <c r="Z834" t="s">
        <v>4942</v>
      </c>
      <c r="AB834" t="s">
        <v>6288</v>
      </c>
      <c r="AC834">
        <v>272</v>
      </c>
      <c r="AD834" t="s">
        <v>6778</v>
      </c>
      <c r="AE834" t="s">
        <v>6786</v>
      </c>
      <c r="AF834">
        <v>45</v>
      </c>
      <c r="AG834">
        <v>2</v>
      </c>
      <c r="AH834">
        <v>0</v>
      </c>
      <c r="AI834">
        <v>121.99</v>
      </c>
      <c r="AL834" t="s">
        <v>6801</v>
      </c>
      <c r="AM834">
        <v>20628</v>
      </c>
      <c r="AO834" t="s">
        <v>6915</v>
      </c>
      <c r="AQ834" t="s">
        <v>6945</v>
      </c>
      <c r="AR834" t="s">
        <v>6954</v>
      </c>
    </row>
    <row r="835" spans="1:44">
      <c r="A835" s="1">
        <f>HYPERLINK("https://lsnyc.legalserver.org/matter/dynamic-profile/view/1908678","19-1908678")</f>
        <v>0</v>
      </c>
      <c r="B835" t="s">
        <v>87</v>
      </c>
      <c r="C835" t="s">
        <v>205</v>
      </c>
      <c r="D835" t="s">
        <v>219</v>
      </c>
      <c r="E835" t="s">
        <v>834</v>
      </c>
      <c r="F835" t="s">
        <v>1799</v>
      </c>
      <c r="G835" t="s">
        <v>2779</v>
      </c>
      <c r="H835" t="s">
        <v>3252</v>
      </c>
      <c r="I835" t="s">
        <v>3495</v>
      </c>
      <c r="J835">
        <v>10040</v>
      </c>
      <c r="K835" t="s">
        <v>3522</v>
      </c>
      <c r="L835" t="s">
        <v>3525</v>
      </c>
      <c r="N835" t="s">
        <v>4107</v>
      </c>
      <c r="O835" t="s">
        <v>4134</v>
      </c>
      <c r="P835" t="s">
        <v>4143</v>
      </c>
      <c r="Q835" t="s">
        <v>4147</v>
      </c>
      <c r="R835" t="s">
        <v>3523</v>
      </c>
      <c r="T835" t="s">
        <v>4156</v>
      </c>
      <c r="V835" t="s">
        <v>205</v>
      </c>
      <c r="W835">
        <v>294.4</v>
      </c>
      <c r="X835" t="s">
        <v>4196</v>
      </c>
      <c r="Y835" t="s">
        <v>4205</v>
      </c>
      <c r="Z835" t="s">
        <v>4943</v>
      </c>
      <c r="AB835" t="s">
        <v>6289</v>
      </c>
      <c r="AC835">
        <v>22</v>
      </c>
      <c r="AD835" t="s">
        <v>6772</v>
      </c>
      <c r="AE835" t="s">
        <v>4200</v>
      </c>
      <c r="AF835">
        <v>20</v>
      </c>
      <c r="AG835">
        <v>1</v>
      </c>
      <c r="AH835">
        <v>0</v>
      </c>
      <c r="AI835">
        <v>122.86</v>
      </c>
      <c r="AL835" t="s">
        <v>6801</v>
      </c>
      <c r="AM835">
        <v>15345.6</v>
      </c>
    </row>
    <row r="836" spans="1:44">
      <c r="A836" s="1">
        <f>HYPERLINK("https://lsnyc.legalserver.org/matter/dynamic-profile/view/1914876","19-1914876")</f>
        <v>0</v>
      </c>
      <c r="B836" t="s">
        <v>86</v>
      </c>
      <c r="C836" t="s">
        <v>301</v>
      </c>
      <c r="D836" t="s">
        <v>243</v>
      </c>
      <c r="E836" t="s">
        <v>938</v>
      </c>
      <c r="F836" t="s">
        <v>1800</v>
      </c>
      <c r="G836" t="s">
        <v>2780</v>
      </c>
      <c r="H836" t="s">
        <v>3140</v>
      </c>
      <c r="I836" t="s">
        <v>3495</v>
      </c>
      <c r="J836">
        <v>10040</v>
      </c>
      <c r="K836" t="s">
        <v>3522</v>
      </c>
      <c r="L836" t="s">
        <v>3525</v>
      </c>
      <c r="N836" t="s">
        <v>4112</v>
      </c>
      <c r="O836" t="s">
        <v>4135</v>
      </c>
      <c r="P836" t="s">
        <v>4142</v>
      </c>
      <c r="Q836" t="s">
        <v>4147</v>
      </c>
      <c r="R836" t="s">
        <v>3523</v>
      </c>
      <c r="T836" t="s">
        <v>4156</v>
      </c>
      <c r="V836" t="s">
        <v>301</v>
      </c>
      <c r="W836">
        <v>1754.46</v>
      </c>
      <c r="X836" t="s">
        <v>4196</v>
      </c>
      <c r="Y836" t="s">
        <v>4205</v>
      </c>
      <c r="Z836" t="s">
        <v>4944</v>
      </c>
      <c r="AB836" t="s">
        <v>6290</v>
      </c>
      <c r="AC836">
        <v>48</v>
      </c>
      <c r="AD836" t="s">
        <v>6772</v>
      </c>
      <c r="AE836" t="s">
        <v>3526</v>
      </c>
      <c r="AF836">
        <v>15</v>
      </c>
      <c r="AG836">
        <v>2</v>
      </c>
      <c r="AH836">
        <v>1</v>
      </c>
      <c r="AI836">
        <v>122.87</v>
      </c>
      <c r="AL836" t="s">
        <v>6801</v>
      </c>
      <c r="AM836">
        <v>26208</v>
      </c>
    </row>
    <row r="837" spans="1:44">
      <c r="A837" s="1">
        <f>HYPERLINK("https://lsnyc.legalserver.org/matter/dynamic-profile/view/1901547","19-1901547")</f>
        <v>0</v>
      </c>
      <c r="B837" t="s">
        <v>57</v>
      </c>
      <c r="C837" t="s">
        <v>348</v>
      </c>
      <c r="D837" t="s">
        <v>209</v>
      </c>
      <c r="E837" t="s">
        <v>939</v>
      </c>
      <c r="F837" t="s">
        <v>1801</v>
      </c>
      <c r="G837" t="s">
        <v>2781</v>
      </c>
      <c r="H837" t="s">
        <v>3158</v>
      </c>
      <c r="I837" t="s">
        <v>3490</v>
      </c>
      <c r="J837">
        <v>11233</v>
      </c>
      <c r="K837" t="s">
        <v>3522</v>
      </c>
      <c r="L837" t="s">
        <v>3527</v>
      </c>
      <c r="N837" t="s">
        <v>3554</v>
      </c>
      <c r="O837" t="s">
        <v>4132</v>
      </c>
      <c r="P837" t="s">
        <v>4139</v>
      </c>
      <c r="Q837" t="s">
        <v>4147</v>
      </c>
      <c r="R837" t="s">
        <v>3523</v>
      </c>
      <c r="T837" t="s">
        <v>4156</v>
      </c>
      <c r="U837" t="s">
        <v>4168</v>
      </c>
      <c r="V837" t="s">
        <v>209</v>
      </c>
      <c r="W837">
        <v>1879.2</v>
      </c>
      <c r="X837" t="s">
        <v>4193</v>
      </c>
      <c r="Y837" t="s">
        <v>4205</v>
      </c>
      <c r="Z837" t="s">
        <v>4945</v>
      </c>
      <c r="AA837" t="s">
        <v>5616</v>
      </c>
      <c r="AB837" t="s">
        <v>6291</v>
      </c>
      <c r="AC837">
        <v>13</v>
      </c>
      <c r="AD837" t="s">
        <v>6772</v>
      </c>
      <c r="AE837" t="s">
        <v>6787</v>
      </c>
      <c r="AF837">
        <v>5</v>
      </c>
      <c r="AG837">
        <v>3</v>
      </c>
      <c r="AH837">
        <v>2</v>
      </c>
      <c r="AI837">
        <v>122.98</v>
      </c>
      <c r="AL837" t="s">
        <v>6801</v>
      </c>
      <c r="AM837">
        <v>37104</v>
      </c>
    </row>
    <row r="838" spans="1:44">
      <c r="A838" s="1">
        <f>HYPERLINK("https://lsnyc.legalserver.org/matter/dynamic-profile/view/1905685","19-1905685")</f>
        <v>0</v>
      </c>
      <c r="B838" t="s">
        <v>52</v>
      </c>
      <c r="C838" t="s">
        <v>206</v>
      </c>
      <c r="E838" t="s">
        <v>940</v>
      </c>
      <c r="F838" t="s">
        <v>1513</v>
      </c>
      <c r="G838" t="s">
        <v>2410</v>
      </c>
      <c r="H838" t="s">
        <v>3335</v>
      </c>
      <c r="I838" t="s">
        <v>3490</v>
      </c>
      <c r="J838">
        <v>11226</v>
      </c>
      <c r="K838" t="s">
        <v>3522</v>
      </c>
      <c r="N838" t="s">
        <v>4110</v>
      </c>
      <c r="O838" t="s">
        <v>4137</v>
      </c>
      <c r="Q838" t="s">
        <v>4147</v>
      </c>
      <c r="R838" t="s">
        <v>3522</v>
      </c>
      <c r="T838" t="s">
        <v>4156</v>
      </c>
      <c r="V838" t="s">
        <v>206</v>
      </c>
      <c r="W838">
        <v>0</v>
      </c>
      <c r="X838" t="s">
        <v>4193</v>
      </c>
      <c r="Z838" t="s">
        <v>4946</v>
      </c>
      <c r="AB838" t="s">
        <v>6292</v>
      </c>
      <c r="AC838">
        <v>36</v>
      </c>
      <c r="AD838" t="s">
        <v>6772</v>
      </c>
      <c r="AF838">
        <v>0</v>
      </c>
      <c r="AG838">
        <v>2</v>
      </c>
      <c r="AH838">
        <v>0</v>
      </c>
      <c r="AI838">
        <v>123</v>
      </c>
      <c r="AL838" t="s">
        <v>6811</v>
      </c>
      <c r="AM838">
        <v>20800</v>
      </c>
    </row>
    <row r="839" spans="1:44">
      <c r="A839" s="1">
        <f>HYPERLINK("https://lsnyc.legalserver.org/matter/dynamic-profile/view/1907269","19-1907269")</f>
        <v>0</v>
      </c>
      <c r="B839" t="s">
        <v>44</v>
      </c>
      <c r="C839" t="s">
        <v>225</v>
      </c>
      <c r="E839" t="s">
        <v>679</v>
      </c>
      <c r="F839" t="s">
        <v>1802</v>
      </c>
      <c r="G839" t="s">
        <v>2782</v>
      </c>
      <c r="H839" t="s">
        <v>3146</v>
      </c>
      <c r="I839" t="s">
        <v>3517</v>
      </c>
      <c r="J839">
        <v>11418</v>
      </c>
      <c r="K839" t="s">
        <v>3522</v>
      </c>
      <c r="L839" t="s">
        <v>3525</v>
      </c>
      <c r="M839" t="s">
        <v>3892</v>
      </c>
      <c r="N839" t="s">
        <v>4107</v>
      </c>
      <c r="O839" t="s">
        <v>4134</v>
      </c>
      <c r="Q839" t="s">
        <v>4147</v>
      </c>
      <c r="R839" t="s">
        <v>3523</v>
      </c>
      <c r="T839" t="s">
        <v>4156</v>
      </c>
      <c r="U839" t="s">
        <v>4168</v>
      </c>
      <c r="V839" t="s">
        <v>225</v>
      </c>
      <c r="W839">
        <v>1400</v>
      </c>
      <c r="X839" t="s">
        <v>4192</v>
      </c>
      <c r="Y839" t="s">
        <v>4197</v>
      </c>
      <c r="Z839" t="s">
        <v>4947</v>
      </c>
      <c r="AA839" t="s">
        <v>5617</v>
      </c>
      <c r="AB839" t="s">
        <v>6293</v>
      </c>
      <c r="AC839">
        <v>4</v>
      </c>
      <c r="AD839" t="s">
        <v>6771</v>
      </c>
      <c r="AE839" t="s">
        <v>3526</v>
      </c>
      <c r="AF839">
        <v>5</v>
      </c>
      <c r="AG839">
        <v>1</v>
      </c>
      <c r="AH839">
        <v>2</v>
      </c>
      <c r="AI839">
        <v>123.3</v>
      </c>
      <c r="AL839" t="s">
        <v>6802</v>
      </c>
      <c r="AM839">
        <v>26300</v>
      </c>
      <c r="AO839" t="s">
        <v>6919</v>
      </c>
      <c r="AP839" t="s">
        <v>6924</v>
      </c>
      <c r="AQ839" t="s">
        <v>6945</v>
      </c>
      <c r="AR839" t="s">
        <v>7001</v>
      </c>
    </row>
    <row r="840" spans="1:44">
      <c r="A840" s="1">
        <f>HYPERLINK("https://lsnyc.legalserver.org/matter/dynamic-profile/view/1906107","19-1906107")</f>
        <v>0</v>
      </c>
      <c r="B840" t="s">
        <v>103</v>
      </c>
      <c r="C840" t="s">
        <v>207</v>
      </c>
      <c r="D840" t="s">
        <v>283</v>
      </c>
      <c r="E840" t="s">
        <v>600</v>
      </c>
      <c r="F840" t="s">
        <v>1803</v>
      </c>
      <c r="G840" t="s">
        <v>2783</v>
      </c>
      <c r="H840" t="s">
        <v>3148</v>
      </c>
      <c r="I840" t="s">
        <v>3493</v>
      </c>
      <c r="J840">
        <v>10458</v>
      </c>
      <c r="K840" t="s">
        <v>3522</v>
      </c>
      <c r="L840" t="s">
        <v>3525</v>
      </c>
      <c r="O840" t="s">
        <v>4133</v>
      </c>
      <c r="P840" t="s">
        <v>4142</v>
      </c>
      <c r="Q840" t="s">
        <v>4147</v>
      </c>
      <c r="R840" t="s">
        <v>3523</v>
      </c>
      <c r="T840" t="s">
        <v>4156</v>
      </c>
      <c r="V840" t="s">
        <v>241</v>
      </c>
      <c r="W840">
        <v>1091.27</v>
      </c>
      <c r="X840" t="s">
        <v>4194</v>
      </c>
      <c r="Y840" t="s">
        <v>4206</v>
      </c>
      <c r="Z840" t="s">
        <v>4948</v>
      </c>
      <c r="AC840">
        <v>50</v>
      </c>
      <c r="AF840">
        <v>0</v>
      </c>
      <c r="AG840">
        <v>4</v>
      </c>
      <c r="AH840">
        <v>0</v>
      </c>
      <c r="AI840">
        <v>123.5</v>
      </c>
      <c r="AL840" t="s">
        <v>6801</v>
      </c>
      <c r="AM840">
        <v>31800</v>
      </c>
    </row>
    <row r="841" spans="1:44">
      <c r="A841" s="1">
        <f>HYPERLINK("https://lsnyc.legalserver.org/matter/dynamic-profile/view/1914866","19-1914866")</f>
        <v>0</v>
      </c>
      <c r="B841" t="s">
        <v>88</v>
      </c>
      <c r="C841" t="s">
        <v>301</v>
      </c>
      <c r="D841" t="s">
        <v>248</v>
      </c>
      <c r="E841" t="s">
        <v>941</v>
      </c>
      <c r="F841" t="s">
        <v>1291</v>
      </c>
      <c r="G841" t="s">
        <v>2784</v>
      </c>
      <c r="H841">
        <v>54</v>
      </c>
      <c r="I841" t="s">
        <v>3495</v>
      </c>
      <c r="J841">
        <v>10034</v>
      </c>
      <c r="K841" t="s">
        <v>3522</v>
      </c>
      <c r="L841" t="s">
        <v>3525</v>
      </c>
      <c r="N841" t="s">
        <v>4116</v>
      </c>
      <c r="O841" t="s">
        <v>4135</v>
      </c>
      <c r="P841" t="s">
        <v>4142</v>
      </c>
      <c r="Q841" t="s">
        <v>4147</v>
      </c>
      <c r="R841" t="s">
        <v>3523</v>
      </c>
      <c r="T841" t="s">
        <v>4156</v>
      </c>
      <c r="V841" t="s">
        <v>301</v>
      </c>
      <c r="W841">
        <v>932.5700000000001</v>
      </c>
      <c r="X841" t="s">
        <v>4196</v>
      </c>
      <c r="Y841" t="s">
        <v>4201</v>
      </c>
      <c r="Z841" t="s">
        <v>4949</v>
      </c>
      <c r="AB841" t="s">
        <v>6294</v>
      </c>
      <c r="AC841">
        <v>25</v>
      </c>
      <c r="AD841" t="s">
        <v>6772</v>
      </c>
      <c r="AE841" t="s">
        <v>6791</v>
      </c>
      <c r="AF841">
        <v>37</v>
      </c>
      <c r="AG841">
        <v>2</v>
      </c>
      <c r="AH841">
        <v>0</v>
      </c>
      <c r="AI841">
        <v>123.62</v>
      </c>
      <c r="AL841" t="s">
        <v>6802</v>
      </c>
      <c r="AM841">
        <v>20904</v>
      </c>
    </row>
    <row r="842" spans="1:44">
      <c r="A842" s="1">
        <f>HYPERLINK("https://lsnyc.legalserver.org/matter/dynamic-profile/view/1910716","19-1910716")</f>
        <v>0</v>
      </c>
      <c r="B842" t="s">
        <v>53</v>
      </c>
      <c r="C842" t="s">
        <v>257</v>
      </c>
      <c r="E842" t="s">
        <v>942</v>
      </c>
      <c r="F842" t="s">
        <v>1804</v>
      </c>
      <c r="G842" t="s">
        <v>2785</v>
      </c>
      <c r="H842">
        <v>2</v>
      </c>
      <c r="I842" t="s">
        <v>3490</v>
      </c>
      <c r="J842">
        <v>11238</v>
      </c>
      <c r="K842" t="s">
        <v>3522</v>
      </c>
      <c r="L842" t="s">
        <v>3525</v>
      </c>
      <c r="O842" t="s">
        <v>4133</v>
      </c>
      <c r="Q842" t="s">
        <v>4147</v>
      </c>
      <c r="R842" t="s">
        <v>3522</v>
      </c>
      <c r="T842" t="s">
        <v>4156</v>
      </c>
      <c r="V842" t="s">
        <v>251</v>
      </c>
      <c r="W842">
        <v>939.46</v>
      </c>
      <c r="X842" t="s">
        <v>4193</v>
      </c>
      <c r="Z842" t="s">
        <v>4950</v>
      </c>
      <c r="AB842" t="s">
        <v>6295</v>
      </c>
      <c r="AC842">
        <v>41</v>
      </c>
      <c r="AD842" t="s">
        <v>6772</v>
      </c>
      <c r="AF842">
        <v>0</v>
      </c>
      <c r="AG842">
        <v>2</v>
      </c>
      <c r="AH842">
        <v>0</v>
      </c>
      <c r="AI842">
        <v>123.83</v>
      </c>
      <c r="AL842" t="s">
        <v>6801</v>
      </c>
      <c r="AM842">
        <v>20940</v>
      </c>
    </row>
    <row r="843" spans="1:44">
      <c r="A843" s="1">
        <f>HYPERLINK("https://lsnyc.legalserver.org/matter/dynamic-profile/view/1904681","19-1904681")</f>
        <v>0</v>
      </c>
      <c r="B843" t="s">
        <v>48</v>
      </c>
      <c r="C843" t="s">
        <v>246</v>
      </c>
      <c r="E843" t="s">
        <v>656</v>
      </c>
      <c r="F843" t="s">
        <v>1805</v>
      </c>
      <c r="G843" t="s">
        <v>2786</v>
      </c>
      <c r="H843" t="s">
        <v>3129</v>
      </c>
      <c r="I843" t="s">
        <v>3483</v>
      </c>
      <c r="J843">
        <v>11416</v>
      </c>
      <c r="K843" t="s">
        <v>3522</v>
      </c>
      <c r="L843" t="s">
        <v>3525</v>
      </c>
      <c r="M843" t="s">
        <v>3893</v>
      </c>
      <c r="N843" t="s">
        <v>4107</v>
      </c>
      <c r="O843" t="s">
        <v>4132</v>
      </c>
      <c r="Q843" t="s">
        <v>4147</v>
      </c>
      <c r="R843" t="s">
        <v>3523</v>
      </c>
      <c r="T843" t="s">
        <v>4156</v>
      </c>
      <c r="U843" t="s">
        <v>4168</v>
      </c>
      <c r="V843" t="s">
        <v>246</v>
      </c>
      <c r="W843">
        <v>850</v>
      </c>
      <c r="X843" t="s">
        <v>4192</v>
      </c>
      <c r="Y843" t="s">
        <v>4197</v>
      </c>
      <c r="Z843" t="s">
        <v>4951</v>
      </c>
      <c r="AA843" t="s">
        <v>5618</v>
      </c>
      <c r="AB843" t="s">
        <v>6296</v>
      </c>
      <c r="AC843">
        <v>2</v>
      </c>
      <c r="AD843" t="s">
        <v>5524</v>
      </c>
      <c r="AE843" t="s">
        <v>3526</v>
      </c>
      <c r="AF843">
        <v>1</v>
      </c>
      <c r="AG843">
        <v>1</v>
      </c>
      <c r="AH843">
        <v>0</v>
      </c>
      <c r="AI843">
        <v>124.04</v>
      </c>
      <c r="AL843" t="s">
        <v>6801</v>
      </c>
      <c r="AM843">
        <v>15492</v>
      </c>
    </row>
    <row r="844" spans="1:44">
      <c r="A844" s="1">
        <f>HYPERLINK("https://lsnyc.legalserver.org/matter/dynamic-profile/view/1895582","19-1895582")</f>
        <v>0</v>
      </c>
      <c r="B844" t="s">
        <v>55</v>
      </c>
      <c r="C844" t="s">
        <v>349</v>
      </c>
      <c r="D844" t="s">
        <v>237</v>
      </c>
      <c r="E844" t="s">
        <v>943</v>
      </c>
      <c r="F844" t="s">
        <v>1369</v>
      </c>
      <c r="G844" t="s">
        <v>2787</v>
      </c>
      <c r="I844" t="s">
        <v>3490</v>
      </c>
      <c r="J844">
        <v>11233</v>
      </c>
      <c r="K844" t="s">
        <v>3522</v>
      </c>
      <c r="L844" t="s">
        <v>3527</v>
      </c>
      <c r="M844" t="s">
        <v>3894</v>
      </c>
      <c r="N844" t="s">
        <v>4107</v>
      </c>
      <c r="O844" t="s">
        <v>4135</v>
      </c>
      <c r="P844" t="s">
        <v>4142</v>
      </c>
      <c r="Q844" t="s">
        <v>4147</v>
      </c>
      <c r="R844" t="s">
        <v>3523</v>
      </c>
      <c r="T844" t="s">
        <v>4156</v>
      </c>
      <c r="U844" t="s">
        <v>4168</v>
      </c>
      <c r="V844" t="s">
        <v>259</v>
      </c>
      <c r="W844">
        <v>750</v>
      </c>
      <c r="X844" t="s">
        <v>4193</v>
      </c>
      <c r="Y844" t="s">
        <v>4203</v>
      </c>
      <c r="Z844" t="s">
        <v>4952</v>
      </c>
      <c r="AA844" t="s">
        <v>5619</v>
      </c>
      <c r="AB844" t="s">
        <v>6297</v>
      </c>
      <c r="AC844">
        <v>2</v>
      </c>
      <c r="AD844" t="s">
        <v>6771</v>
      </c>
      <c r="AE844" t="s">
        <v>3526</v>
      </c>
      <c r="AF844">
        <v>2</v>
      </c>
      <c r="AG844">
        <v>1</v>
      </c>
      <c r="AH844">
        <v>0</v>
      </c>
      <c r="AI844">
        <v>124.11</v>
      </c>
      <c r="AL844" t="s">
        <v>6801</v>
      </c>
      <c r="AM844">
        <v>15501.6</v>
      </c>
    </row>
    <row r="845" spans="1:44">
      <c r="A845" s="1">
        <f>HYPERLINK("https://lsnyc.legalserver.org/matter/dynamic-profile/view/1915541","19-1915541")</f>
        <v>0</v>
      </c>
      <c r="B845" t="s">
        <v>55</v>
      </c>
      <c r="C845" t="s">
        <v>200</v>
      </c>
      <c r="E845" t="s">
        <v>944</v>
      </c>
      <c r="F845" t="s">
        <v>1336</v>
      </c>
      <c r="G845" t="s">
        <v>2195</v>
      </c>
      <c r="H845" t="s">
        <v>3219</v>
      </c>
      <c r="I845" t="s">
        <v>3490</v>
      </c>
      <c r="J845">
        <v>11233</v>
      </c>
      <c r="K845" t="s">
        <v>3522</v>
      </c>
      <c r="L845" t="s">
        <v>3525</v>
      </c>
      <c r="M845" t="s">
        <v>3895</v>
      </c>
      <c r="N845" t="s">
        <v>4109</v>
      </c>
      <c r="O845" t="s">
        <v>4136</v>
      </c>
      <c r="Q845" t="s">
        <v>4147</v>
      </c>
      <c r="R845" t="s">
        <v>3523</v>
      </c>
      <c r="T845" t="s">
        <v>4156</v>
      </c>
      <c r="U845" t="s">
        <v>4168</v>
      </c>
      <c r="V845" t="s">
        <v>243</v>
      </c>
      <c r="W845">
        <v>981</v>
      </c>
      <c r="X845" t="s">
        <v>4193</v>
      </c>
      <c r="Y845" t="s">
        <v>4205</v>
      </c>
      <c r="Z845" t="s">
        <v>4953</v>
      </c>
      <c r="AB845" t="s">
        <v>6298</v>
      </c>
      <c r="AC845">
        <v>359</v>
      </c>
      <c r="AD845" t="s">
        <v>6781</v>
      </c>
      <c r="AE845" t="s">
        <v>6787</v>
      </c>
      <c r="AF845">
        <v>1</v>
      </c>
      <c r="AG845">
        <v>2</v>
      </c>
      <c r="AH845">
        <v>1</v>
      </c>
      <c r="AI845">
        <v>124.17</v>
      </c>
      <c r="AL845" t="s">
        <v>6801</v>
      </c>
      <c r="AM845">
        <v>26485</v>
      </c>
    </row>
    <row r="846" spans="1:44">
      <c r="A846" s="1">
        <f>HYPERLINK("https://lsnyc.legalserver.org/matter/dynamic-profile/view/1907460","19-1907460")</f>
        <v>0</v>
      </c>
      <c r="B846" t="s">
        <v>65</v>
      </c>
      <c r="C846" t="s">
        <v>185</v>
      </c>
      <c r="E846" t="s">
        <v>945</v>
      </c>
      <c r="F846" t="s">
        <v>1806</v>
      </c>
      <c r="G846" t="s">
        <v>2204</v>
      </c>
      <c r="H846" t="s">
        <v>3201</v>
      </c>
      <c r="I846" t="s">
        <v>3490</v>
      </c>
      <c r="J846">
        <v>11225</v>
      </c>
      <c r="K846" t="s">
        <v>3522</v>
      </c>
      <c r="L846" t="s">
        <v>3525</v>
      </c>
      <c r="N846" t="s">
        <v>4112</v>
      </c>
      <c r="O846" t="s">
        <v>4133</v>
      </c>
      <c r="Q846" t="s">
        <v>4147</v>
      </c>
      <c r="R846" t="s">
        <v>3522</v>
      </c>
      <c r="S846" t="s">
        <v>4149</v>
      </c>
      <c r="T846" t="s">
        <v>4156</v>
      </c>
      <c r="V846" t="s">
        <v>185</v>
      </c>
      <c r="W846">
        <v>0</v>
      </c>
      <c r="X846" t="s">
        <v>4193</v>
      </c>
      <c r="Z846" t="s">
        <v>4954</v>
      </c>
      <c r="AB846" t="s">
        <v>6299</v>
      </c>
      <c r="AC846">
        <v>46</v>
      </c>
      <c r="AF846">
        <v>0</v>
      </c>
      <c r="AG846">
        <v>2</v>
      </c>
      <c r="AH846">
        <v>0</v>
      </c>
      <c r="AI846">
        <v>124.19</v>
      </c>
      <c r="AL846" t="s">
        <v>6801</v>
      </c>
      <c r="AM846">
        <v>21000</v>
      </c>
    </row>
    <row r="847" spans="1:44">
      <c r="A847" s="1">
        <f>HYPERLINK("https://lsnyc.legalserver.org/matter/dynamic-profile/view/1908975","19-1908975")</f>
        <v>0</v>
      </c>
      <c r="B847" t="s">
        <v>79</v>
      </c>
      <c r="C847" t="s">
        <v>304</v>
      </c>
      <c r="D847" t="s">
        <v>195</v>
      </c>
      <c r="E847" t="s">
        <v>946</v>
      </c>
      <c r="F847" t="s">
        <v>1807</v>
      </c>
      <c r="G847" t="s">
        <v>2788</v>
      </c>
      <c r="H847" t="s">
        <v>3178</v>
      </c>
      <c r="I847" t="s">
        <v>3493</v>
      </c>
      <c r="J847">
        <v>10459</v>
      </c>
      <c r="K847" t="s">
        <v>3522</v>
      </c>
      <c r="L847" t="s">
        <v>3525</v>
      </c>
      <c r="N847" t="s">
        <v>3554</v>
      </c>
      <c r="O847" t="s">
        <v>4132</v>
      </c>
      <c r="P847" t="s">
        <v>4139</v>
      </c>
      <c r="Q847" t="s">
        <v>4147</v>
      </c>
      <c r="R847" t="s">
        <v>3523</v>
      </c>
      <c r="T847" t="s">
        <v>4156</v>
      </c>
      <c r="U847" t="s">
        <v>4168</v>
      </c>
      <c r="V847" t="s">
        <v>251</v>
      </c>
      <c r="W847">
        <v>441</v>
      </c>
      <c r="X847" t="s">
        <v>4194</v>
      </c>
      <c r="Y847" t="s">
        <v>4206</v>
      </c>
      <c r="Z847" t="s">
        <v>4955</v>
      </c>
      <c r="AB847" t="s">
        <v>6300</v>
      </c>
      <c r="AC847">
        <v>39</v>
      </c>
      <c r="AD847" t="s">
        <v>6776</v>
      </c>
      <c r="AE847" t="s">
        <v>6789</v>
      </c>
      <c r="AF847">
        <v>14</v>
      </c>
      <c r="AG847">
        <v>2</v>
      </c>
      <c r="AH847">
        <v>0</v>
      </c>
      <c r="AI847">
        <v>124.19</v>
      </c>
      <c r="AL847" t="s">
        <v>6801</v>
      </c>
      <c r="AM847">
        <v>21000</v>
      </c>
    </row>
    <row r="848" spans="1:44">
      <c r="A848" s="1">
        <f>HYPERLINK("https://lsnyc.legalserver.org/matter/dynamic-profile/view/1909907","19-1909907")</f>
        <v>0</v>
      </c>
      <c r="B848" t="s">
        <v>61</v>
      </c>
      <c r="C848" t="s">
        <v>341</v>
      </c>
      <c r="D848" t="s">
        <v>245</v>
      </c>
      <c r="E848" t="s">
        <v>947</v>
      </c>
      <c r="F848" t="s">
        <v>1808</v>
      </c>
      <c r="G848" t="s">
        <v>2789</v>
      </c>
      <c r="H848" t="s">
        <v>3201</v>
      </c>
      <c r="I848" t="s">
        <v>3490</v>
      </c>
      <c r="J848">
        <v>11233</v>
      </c>
      <c r="K848" t="s">
        <v>3522</v>
      </c>
      <c r="L848" t="s">
        <v>3527</v>
      </c>
      <c r="M848" t="s">
        <v>3896</v>
      </c>
      <c r="N848" t="s">
        <v>4109</v>
      </c>
      <c r="O848" t="s">
        <v>4134</v>
      </c>
      <c r="P848" t="s">
        <v>4140</v>
      </c>
      <c r="Q848" t="s">
        <v>4147</v>
      </c>
      <c r="R848" t="s">
        <v>3523</v>
      </c>
      <c r="T848" t="s">
        <v>4156</v>
      </c>
      <c r="U848" t="s">
        <v>4169</v>
      </c>
      <c r="V848" t="s">
        <v>198</v>
      </c>
      <c r="W848">
        <v>1096.4</v>
      </c>
      <c r="X848" t="s">
        <v>4193</v>
      </c>
      <c r="Y848" t="s">
        <v>4206</v>
      </c>
      <c r="Z848" t="s">
        <v>4956</v>
      </c>
      <c r="AA848" t="s">
        <v>5620</v>
      </c>
      <c r="AB848" t="s">
        <v>6301</v>
      </c>
      <c r="AC848">
        <v>24</v>
      </c>
      <c r="AD848" t="s">
        <v>6780</v>
      </c>
      <c r="AE848" t="s">
        <v>4200</v>
      </c>
      <c r="AF848">
        <v>12</v>
      </c>
      <c r="AG848">
        <v>2</v>
      </c>
      <c r="AH848">
        <v>0</v>
      </c>
      <c r="AI848">
        <v>124.54</v>
      </c>
      <c r="AL848" t="s">
        <v>6801</v>
      </c>
      <c r="AM848">
        <v>21060</v>
      </c>
      <c r="AP848" t="s">
        <v>6924</v>
      </c>
      <c r="AQ848" t="s">
        <v>6945</v>
      </c>
      <c r="AR848" t="s">
        <v>6982</v>
      </c>
    </row>
    <row r="849" spans="1:44">
      <c r="A849" s="1">
        <f>HYPERLINK("https://lsnyc.legalserver.org/matter/dynamic-profile/view/1904943","19-1904943")</f>
        <v>0</v>
      </c>
      <c r="B849" t="s">
        <v>46</v>
      </c>
      <c r="C849" t="s">
        <v>272</v>
      </c>
      <c r="E849" t="s">
        <v>948</v>
      </c>
      <c r="F849" t="s">
        <v>1809</v>
      </c>
      <c r="G849" t="s">
        <v>2790</v>
      </c>
      <c r="H849" t="s">
        <v>3173</v>
      </c>
      <c r="I849" t="s">
        <v>3486</v>
      </c>
      <c r="J849">
        <v>11377</v>
      </c>
      <c r="K849" t="s">
        <v>3522</v>
      </c>
      <c r="L849" t="s">
        <v>3525</v>
      </c>
      <c r="N849" t="s">
        <v>3554</v>
      </c>
      <c r="O849" t="s">
        <v>4135</v>
      </c>
      <c r="Q849" t="s">
        <v>4148</v>
      </c>
      <c r="R849" t="s">
        <v>3523</v>
      </c>
      <c r="T849" t="s">
        <v>4157</v>
      </c>
      <c r="U849" t="s">
        <v>4168</v>
      </c>
      <c r="V849" t="s">
        <v>272</v>
      </c>
      <c r="W849">
        <v>400</v>
      </c>
      <c r="X849" t="s">
        <v>4192</v>
      </c>
      <c r="Y849" t="s">
        <v>4199</v>
      </c>
      <c r="Z849" t="s">
        <v>4957</v>
      </c>
      <c r="AB849" t="s">
        <v>6302</v>
      </c>
      <c r="AC849">
        <v>72</v>
      </c>
      <c r="AD849" t="s">
        <v>6777</v>
      </c>
      <c r="AE849" t="s">
        <v>3526</v>
      </c>
      <c r="AF849">
        <v>-1</v>
      </c>
      <c r="AG849">
        <v>1</v>
      </c>
      <c r="AH849">
        <v>2</v>
      </c>
      <c r="AI849">
        <v>124.67</v>
      </c>
      <c r="AJ849" t="s">
        <v>6795</v>
      </c>
      <c r="AK849" t="s">
        <v>6798</v>
      </c>
      <c r="AL849" t="s">
        <v>6801</v>
      </c>
      <c r="AM849">
        <v>26592</v>
      </c>
    </row>
    <row r="850" spans="1:44">
      <c r="A850" s="1">
        <f>HYPERLINK("https://lsnyc.legalserver.org/matter/dynamic-profile/view/1903659","19-1903659")</f>
        <v>0</v>
      </c>
      <c r="B850" t="s">
        <v>120</v>
      </c>
      <c r="C850" t="s">
        <v>286</v>
      </c>
      <c r="D850" t="s">
        <v>182</v>
      </c>
      <c r="E850" t="s">
        <v>949</v>
      </c>
      <c r="F850" t="s">
        <v>1810</v>
      </c>
      <c r="G850" t="s">
        <v>2390</v>
      </c>
      <c r="H850" t="s">
        <v>3370</v>
      </c>
      <c r="I850" t="s">
        <v>3494</v>
      </c>
      <c r="J850">
        <v>10314</v>
      </c>
      <c r="K850" t="s">
        <v>3522</v>
      </c>
      <c r="L850" t="s">
        <v>3525</v>
      </c>
      <c r="M850" t="s">
        <v>3661</v>
      </c>
      <c r="N850" t="s">
        <v>4110</v>
      </c>
      <c r="O850" t="s">
        <v>4137</v>
      </c>
      <c r="P850" t="s">
        <v>4145</v>
      </c>
      <c r="Q850" t="s">
        <v>4147</v>
      </c>
      <c r="R850" t="s">
        <v>3522</v>
      </c>
      <c r="T850" t="s">
        <v>4156</v>
      </c>
      <c r="U850" t="s">
        <v>4168</v>
      </c>
      <c r="V850" t="s">
        <v>336</v>
      </c>
      <c r="W850">
        <v>864</v>
      </c>
      <c r="X850" t="s">
        <v>4195</v>
      </c>
      <c r="Y850" t="s">
        <v>4201</v>
      </c>
      <c r="Z850" t="s">
        <v>4958</v>
      </c>
      <c r="AB850" t="s">
        <v>6303</v>
      </c>
      <c r="AC850">
        <v>96</v>
      </c>
      <c r="AD850" t="s">
        <v>6772</v>
      </c>
      <c r="AE850" t="s">
        <v>6791</v>
      </c>
      <c r="AF850">
        <v>9</v>
      </c>
      <c r="AG850">
        <v>1</v>
      </c>
      <c r="AH850">
        <v>0</v>
      </c>
      <c r="AI850">
        <v>124.71</v>
      </c>
      <c r="AL850" t="s">
        <v>6801</v>
      </c>
      <c r="AM850">
        <v>15576</v>
      </c>
      <c r="AO850" t="s">
        <v>6920</v>
      </c>
      <c r="AP850" t="s">
        <v>6929</v>
      </c>
      <c r="AQ850" t="s">
        <v>6945</v>
      </c>
      <c r="AR850" t="s">
        <v>6967</v>
      </c>
    </row>
    <row r="851" spans="1:44">
      <c r="A851" s="1">
        <f>HYPERLINK("https://lsnyc.legalserver.org/matter/dynamic-profile/view/1914793","19-1914793")</f>
        <v>0</v>
      </c>
      <c r="B851" t="s">
        <v>67</v>
      </c>
      <c r="C851" t="s">
        <v>267</v>
      </c>
      <c r="E851" t="s">
        <v>950</v>
      </c>
      <c r="F851" t="s">
        <v>1811</v>
      </c>
      <c r="G851" t="s">
        <v>2212</v>
      </c>
      <c r="H851">
        <v>34</v>
      </c>
      <c r="I851" t="s">
        <v>3490</v>
      </c>
      <c r="J851">
        <v>11213</v>
      </c>
      <c r="K851" t="s">
        <v>3522</v>
      </c>
      <c r="L851" t="s">
        <v>3525</v>
      </c>
      <c r="M851" t="s">
        <v>3847</v>
      </c>
      <c r="N851" t="s">
        <v>4115</v>
      </c>
      <c r="O851" t="s">
        <v>4134</v>
      </c>
      <c r="Q851" t="s">
        <v>4147</v>
      </c>
      <c r="R851" t="s">
        <v>3522</v>
      </c>
      <c r="T851" t="s">
        <v>4156</v>
      </c>
      <c r="U851" t="s">
        <v>4168</v>
      </c>
      <c r="V851" t="s">
        <v>4178</v>
      </c>
      <c r="W851">
        <v>881.67</v>
      </c>
      <c r="X851" t="s">
        <v>4193</v>
      </c>
      <c r="Y851" t="s">
        <v>4206</v>
      </c>
      <c r="Z851" t="s">
        <v>4959</v>
      </c>
      <c r="AA851" t="s">
        <v>3526</v>
      </c>
      <c r="AB851" t="s">
        <v>6304</v>
      </c>
      <c r="AC851">
        <v>31</v>
      </c>
      <c r="AD851" t="s">
        <v>6772</v>
      </c>
      <c r="AE851" t="s">
        <v>3526</v>
      </c>
      <c r="AF851">
        <v>17</v>
      </c>
      <c r="AG851">
        <v>2</v>
      </c>
      <c r="AH851">
        <v>2</v>
      </c>
      <c r="AI851">
        <v>124.75</v>
      </c>
      <c r="AL851" t="s">
        <v>6801</v>
      </c>
      <c r="AM851">
        <v>32124</v>
      </c>
    </row>
    <row r="852" spans="1:44">
      <c r="A852" s="1">
        <f>HYPERLINK("https://lsnyc.legalserver.org/matter/dynamic-profile/view/1914616","19-1914616")</f>
        <v>0</v>
      </c>
      <c r="B852" t="s">
        <v>58</v>
      </c>
      <c r="C852" t="s">
        <v>269</v>
      </c>
      <c r="E852" t="s">
        <v>950</v>
      </c>
      <c r="F852" t="s">
        <v>1811</v>
      </c>
      <c r="G852" t="s">
        <v>2212</v>
      </c>
      <c r="H852">
        <v>34</v>
      </c>
      <c r="I852" t="s">
        <v>3490</v>
      </c>
      <c r="J852">
        <v>11213</v>
      </c>
      <c r="K852" t="s">
        <v>3522</v>
      </c>
      <c r="L852" t="s">
        <v>3525</v>
      </c>
      <c r="M852" t="s">
        <v>3562</v>
      </c>
      <c r="N852" t="s">
        <v>4110</v>
      </c>
      <c r="O852" t="s">
        <v>4137</v>
      </c>
      <c r="Q852" t="s">
        <v>4147</v>
      </c>
      <c r="R852" t="s">
        <v>3522</v>
      </c>
      <c r="T852" t="s">
        <v>4156</v>
      </c>
      <c r="U852" t="s">
        <v>4168</v>
      </c>
      <c r="V852" t="s">
        <v>273</v>
      </c>
      <c r="W852">
        <v>881.67</v>
      </c>
      <c r="X852" t="s">
        <v>4193</v>
      </c>
      <c r="Y852" t="s">
        <v>4206</v>
      </c>
      <c r="Z852" t="s">
        <v>4959</v>
      </c>
      <c r="AA852" t="s">
        <v>3562</v>
      </c>
      <c r="AB852" t="s">
        <v>6304</v>
      </c>
      <c r="AC852">
        <v>31</v>
      </c>
      <c r="AD852" t="s">
        <v>6772</v>
      </c>
      <c r="AE852" t="s">
        <v>3526</v>
      </c>
      <c r="AF852">
        <v>17</v>
      </c>
      <c r="AG852">
        <v>2</v>
      </c>
      <c r="AH852">
        <v>2</v>
      </c>
      <c r="AI852">
        <v>124.75</v>
      </c>
      <c r="AL852" t="s">
        <v>6801</v>
      </c>
      <c r="AM852">
        <v>32124</v>
      </c>
    </row>
    <row r="853" spans="1:44">
      <c r="A853" s="1">
        <f>HYPERLINK("https://lsnyc.legalserver.org/matter/dynamic-profile/view/1914632","19-1914632")</f>
        <v>0</v>
      </c>
      <c r="B853" t="s">
        <v>58</v>
      </c>
      <c r="C853" t="s">
        <v>269</v>
      </c>
      <c r="E853" t="s">
        <v>950</v>
      </c>
      <c r="F853" t="s">
        <v>1811</v>
      </c>
      <c r="G853" t="s">
        <v>2212</v>
      </c>
      <c r="H853">
        <v>34</v>
      </c>
      <c r="I853" t="s">
        <v>3490</v>
      </c>
      <c r="J853">
        <v>11213</v>
      </c>
      <c r="K853" t="s">
        <v>3522</v>
      </c>
      <c r="L853" t="s">
        <v>3525</v>
      </c>
      <c r="M853" t="s">
        <v>3562</v>
      </c>
      <c r="N853" t="s">
        <v>4110</v>
      </c>
      <c r="O853" t="s">
        <v>4137</v>
      </c>
      <c r="Q853" t="s">
        <v>4147</v>
      </c>
      <c r="R853" t="s">
        <v>3523</v>
      </c>
      <c r="T853" t="s">
        <v>4156</v>
      </c>
      <c r="U853" t="s">
        <v>4168</v>
      </c>
      <c r="V853" t="s">
        <v>237</v>
      </c>
      <c r="W853">
        <v>881.67</v>
      </c>
      <c r="X853" t="s">
        <v>4193</v>
      </c>
      <c r="Y853" t="s">
        <v>4206</v>
      </c>
      <c r="Z853" t="s">
        <v>4959</v>
      </c>
      <c r="AA853" t="s">
        <v>3562</v>
      </c>
      <c r="AB853" t="s">
        <v>6304</v>
      </c>
      <c r="AC853">
        <v>31</v>
      </c>
      <c r="AD853" t="s">
        <v>6772</v>
      </c>
      <c r="AE853" t="s">
        <v>3526</v>
      </c>
      <c r="AF853">
        <v>17</v>
      </c>
      <c r="AG853">
        <v>2</v>
      </c>
      <c r="AH853">
        <v>2</v>
      </c>
      <c r="AI853">
        <v>124.75</v>
      </c>
      <c r="AL853" t="s">
        <v>6801</v>
      </c>
      <c r="AM853">
        <v>32124</v>
      </c>
    </row>
    <row r="854" spans="1:44">
      <c r="A854" s="1">
        <f>HYPERLINK("https://lsnyc.legalserver.org/matter/dynamic-profile/view/1913492","19-1913492")</f>
        <v>0</v>
      </c>
      <c r="B854" t="s">
        <v>54</v>
      </c>
      <c r="C854" t="s">
        <v>237</v>
      </c>
      <c r="E854" t="s">
        <v>950</v>
      </c>
      <c r="F854" t="s">
        <v>1811</v>
      </c>
      <c r="G854" t="s">
        <v>2212</v>
      </c>
      <c r="H854">
        <v>34</v>
      </c>
      <c r="I854" t="s">
        <v>3490</v>
      </c>
      <c r="J854">
        <v>11213</v>
      </c>
      <c r="K854" t="s">
        <v>3522</v>
      </c>
      <c r="L854" t="s">
        <v>3525</v>
      </c>
      <c r="M854" t="s">
        <v>3897</v>
      </c>
      <c r="N854" t="s">
        <v>3554</v>
      </c>
      <c r="O854" t="s">
        <v>4135</v>
      </c>
      <c r="Q854" t="s">
        <v>4147</v>
      </c>
      <c r="R854" t="s">
        <v>3523</v>
      </c>
      <c r="T854" t="s">
        <v>4156</v>
      </c>
      <c r="U854" t="s">
        <v>4168</v>
      </c>
      <c r="V854" t="s">
        <v>237</v>
      </c>
      <c r="W854">
        <v>881.67</v>
      </c>
      <c r="X854" t="s">
        <v>4193</v>
      </c>
      <c r="Y854" t="s">
        <v>4201</v>
      </c>
      <c r="Z854" t="s">
        <v>4959</v>
      </c>
      <c r="AA854" t="s">
        <v>3526</v>
      </c>
      <c r="AB854" t="s">
        <v>6304</v>
      </c>
      <c r="AC854">
        <v>31</v>
      </c>
      <c r="AD854" t="s">
        <v>6772</v>
      </c>
      <c r="AE854" t="s">
        <v>6791</v>
      </c>
      <c r="AF854">
        <v>17</v>
      </c>
      <c r="AG854">
        <v>2</v>
      </c>
      <c r="AH854">
        <v>2</v>
      </c>
      <c r="AI854">
        <v>124.75</v>
      </c>
      <c r="AL854" t="s">
        <v>6801</v>
      </c>
      <c r="AM854">
        <v>32124</v>
      </c>
    </row>
    <row r="855" spans="1:44">
      <c r="A855" s="1">
        <f>HYPERLINK("https://lsnyc.legalserver.org/matter/dynamic-profile/view/1911428","19-1911428")</f>
        <v>0</v>
      </c>
      <c r="B855" t="s">
        <v>55</v>
      </c>
      <c r="C855" t="s">
        <v>313</v>
      </c>
      <c r="D855" t="s">
        <v>213</v>
      </c>
      <c r="E855" t="s">
        <v>951</v>
      </c>
      <c r="F855" t="s">
        <v>1479</v>
      </c>
      <c r="G855" t="s">
        <v>2791</v>
      </c>
      <c r="I855" t="s">
        <v>3490</v>
      </c>
      <c r="J855">
        <v>11233</v>
      </c>
      <c r="K855" t="s">
        <v>3522</v>
      </c>
      <c r="L855" t="s">
        <v>3525</v>
      </c>
      <c r="M855" t="s">
        <v>3898</v>
      </c>
      <c r="N855" t="s">
        <v>4107</v>
      </c>
      <c r="O855" t="s">
        <v>4135</v>
      </c>
      <c r="P855" t="s">
        <v>4142</v>
      </c>
      <c r="Q855" t="s">
        <v>4147</v>
      </c>
      <c r="R855" t="s">
        <v>3523</v>
      </c>
      <c r="T855" t="s">
        <v>4156</v>
      </c>
      <c r="U855" t="s">
        <v>4168</v>
      </c>
      <c r="V855" t="s">
        <v>253</v>
      </c>
      <c r="W855">
        <v>2100</v>
      </c>
      <c r="X855" t="s">
        <v>4193</v>
      </c>
      <c r="Y855" t="s">
        <v>4203</v>
      </c>
      <c r="Z855" t="s">
        <v>4960</v>
      </c>
      <c r="AA855" t="s">
        <v>5621</v>
      </c>
      <c r="AB855" t="s">
        <v>6305</v>
      </c>
      <c r="AC855">
        <v>4</v>
      </c>
      <c r="AD855" t="s">
        <v>6771</v>
      </c>
      <c r="AE855" t="s">
        <v>6786</v>
      </c>
      <c r="AF855">
        <v>3</v>
      </c>
      <c r="AG855">
        <v>3</v>
      </c>
      <c r="AH855">
        <v>1</v>
      </c>
      <c r="AI855">
        <v>124.85</v>
      </c>
      <c r="AL855" t="s">
        <v>6801</v>
      </c>
      <c r="AM855">
        <v>32150</v>
      </c>
    </row>
    <row r="856" spans="1:44">
      <c r="A856" s="1">
        <f>HYPERLINK("https://lsnyc.legalserver.org/matter/dynamic-profile/view/1903617","19-1903617")</f>
        <v>0</v>
      </c>
      <c r="B856" t="s">
        <v>168</v>
      </c>
      <c r="C856" t="s">
        <v>286</v>
      </c>
      <c r="E856" t="s">
        <v>952</v>
      </c>
      <c r="F856" t="s">
        <v>1812</v>
      </c>
      <c r="G856" t="s">
        <v>2792</v>
      </c>
      <c r="H856" t="s">
        <v>3272</v>
      </c>
      <c r="I856" t="s">
        <v>3495</v>
      </c>
      <c r="J856">
        <v>10033</v>
      </c>
      <c r="K856" t="s">
        <v>3522</v>
      </c>
      <c r="L856" t="s">
        <v>3525</v>
      </c>
      <c r="M856" t="s">
        <v>3899</v>
      </c>
      <c r="N856" t="s">
        <v>4107</v>
      </c>
      <c r="O856" t="s">
        <v>4134</v>
      </c>
      <c r="Q856" t="s">
        <v>4147</v>
      </c>
      <c r="R856" t="s">
        <v>3523</v>
      </c>
      <c r="T856" t="s">
        <v>4156</v>
      </c>
      <c r="V856" t="s">
        <v>241</v>
      </c>
      <c r="W856">
        <v>1123.72</v>
      </c>
      <c r="X856" t="s">
        <v>4196</v>
      </c>
      <c r="Z856" t="s">
        <v>4961</v>
      </c>
      <c r="AB856" t="s">
        <v>6306</v>
      </c>
      <c r="AC856">
        <v>53</v>
      </c>
      <c r="AF856">
        <v>29</v>
      </c>
      <c r="AG856">
        <v>1</v>
      </c>
      <c r="AH856">
        <v>0</v>
      </c>
      <c r="AI856">
        <v>124.89</v>
      </c>
      <c r="AL856" t="s">
        <v>6802</v>
      </c>
      <c r="AM856">
        <v>15598.8</v>
      </c>
    </row>
    <row r="857" spans="1:44">
      <c r="A857" s="1">
        <f>HYPERLINK("https://lsnyc.legalserver.org/matter/dynamic-profile/view/1915268","19-1915268")</f>
        <v>0</v>
      </c>
      <c r="B857" t="s">
        <v>99</v>
      </c>
      <c r="C857" t="s">
        <v>204</v>
      </c>
      <c r="E857" t="s">
        <v>754</v>
      </c>
      <c r="F857" t="s">
        <v>1813</v>
      </c>
      <c r="G857" t="s">
        <v>2793</v>
      </c>
      <c r="H857" t="s">
        <v>3149</v>
      </c>
      <c r="I857" t="s">
        <v>3495</v>
      </c>
      <c r="J857">
        <v>10029</v>
      </c>
      <c r="K857" t="s">
        <v>3522</v>
      </c>
      <c r="L857" t="s">
        <v>3525</v>
      </c>
      <c r="N857" t="s">
        <v>4108</v>
      </c>
      <c r="O857" t="s">
        <v>4134</v>
      </c>
      <c r="Q857" t="s">
        <v>4147</v>
      </c>
      <c r="R857" t="s">
        <v>3523</v>
      </c>
      <c r="T857" t="s">
        <v>4156</v>
      </c>
      <c r="U857" t="s">
        <v>4168</v>
      </c>
      <c r="V857" t="s">
        <v>204</v>
      </c>
      <c r="W857">
        <v>1138</v>
      </c>
      <c r="X857" t="s">
        <v>4196</v>
      </c>
      <c r="Y857" t="s">
        <v>4201</v>
      </c>
      <c r="Z857" t="s">
        <v>4962</v>
      </c>
      <c r="AB857" t="s">
        <v>6307</v>
      </c>
      <c r="AC857">
        <v>10</v>
      </c>
      <c r="AD857" t="s">
        <v>6772</v>
      </c>
      <c r="AE857" t="s">
        <v>3526</v>
      </c>
      <c r="AF857">
        <v>15</v>
      </c>
      <c r="AG857">
        <v>1</v>
      </c>
      <c r="AH857">
        <v>2</v>
      </c>
      <c r="AI857">
        <v>124.89</v>
      </c>
      <c r="AL857" t="s">
        <v>6801</v>
      </c>
      <c r="AM857">
        <v>26640</v>
      </c>
      <c r="AQ857" t="s">
        <v>6945</v>
      </c>
      <c r="AR857" t="s">
        <v>6949</v>
      </c>
    </row>
    <row r="858" spans="1:44">
      <c r="A858" s="1">
        <f>HYPERLINK("https://lsnyc.legalserver.org/matter/dynamic-profile/view/1907667","19-1907667")</f>
        <v>0</v>
      </c>
      <c r="B858" t="s">
        <v>52</v>
      </c>
      <c r="C858" t="s">
        <v>284</v>
      </c>
      <c r="E858" t="s">
        <v>645</v>
      </c>
      <c r="F858" t="s">
        <v>1814</v>
      </c>
      <c r="G858" t="s">
        <v>2410</v>
      </c>
      <c r="H858" t="s">
        <v>3173</v>
      </c>
      <c r="I858" t="s">
        <v>3490</v>
      </c>
      <c r="J858">
        <v>11226</v>
      </c>
      <c r="K858" t="s">
        <v>3522</v>
      </c>
      <c r="N858" t="s">
        <v>4110</v>
      </c>
      <c r="O858" t="s">
        <v>4137</v>
      </c>
      <c r="Q858" t="s">
        <v>4147</v>
      </c>
      <c r="R858" t="s">
        <v>3522</v>
      </c>
      <c r="T858" t="s">
        <v>4156</v>
      </c>
      <c r="V858" t="s">
        <v>284</v>
      </c>
      <c r="W858">
        <v>0</v>
      </c>
      <c r="X858" t="s">
        <v>4193</v>
      </c>
      <c r="Z858" t="s">
        <v>4963</v>
      </c>
      <c r="AB858" t="s">
        <v>6308</v>
      </c>
      <c r="AC858">
        <v>36</v>
      </c>
      <c r="AD858" t="s">
        <v>6772</v>
      </c>
      <c r="AF858">
        <v>0</v>
      </c>
      <c r="AG858">
        <v>1</v>
      </c>
      <c r="AH858">
        <v>0</v>
      </c>
      <c r="AI858">
        <v>124.9</v>
      </c>
      <c r="AL858" t="s">
        <v>6814</v>
      </c>
      <c r="AM858">
        <v>15600</v>
      </c>
    </row>
    <row r="859" spans="1:44">
      <c r="A859" s="1">
        <f>HYPERLINK("https://lsnyc.legalserver.org/matter/dynamic-profile/view/1891040","19-1891040")</f>
        <v>0</v>
      </c>
      <c r="B859" t="s">
        <v>105</v>
      </c>
      <c r="C859" t="s">
        <v>350</v>
      </c>
      <c r="D859" t="s">
        <v>275</v>
      </c>
      <c r="E859" t="s">
        <v>953</v>
      </c>
      <c r="F859" t="s">
        <v>1815</v>
      </c>
      <c r="G859" t="s">
        <v>2794</v>
      </c>
      <c r="H859" t="s">
        <v>3325</v>
      </c>
      <c r="I859" t="s">
        <v>3494</v>
      </c>
      <c r="J859">
        <v>10304</v>
      </c>
      <c r="K859" t="s">
        <v>3522</v>
      </c>
      <c r="L859" t="s">
        <v>3525</v>
      </c>
      <c r="M859" t="s">
        <v>3900</v>
      </c>
      <c r="N859" t="s">
        <v>4109</v>
      </c>
      <c r="O859" t="s">
        <v>4134</v>
      </c>
      <c r="P859" t="s">
        <v>4140</v>
      </c>
      <c r="Q859" t="s">
        <v>4147</v>
      </c>
      <c r="T859" t="s">
        <v>4156</v>
      </c>
      <c r="V859" t="s">
        <v>259</v>
      </c>
      <c r="W859">
        <v>0</v>
      </c>
      <c r="X859" t="s">
        <v>4195</v>
      </c>
      <c r="Y859" t="s">
        <v>4201</v>
      </c>
      <c r="Z859" t="s">
        <v>4964</v>
      </c>
      <c r="AB859" t="s">
        <v>6309</v>
      </c>
      <c r="AC859">
        <v>84</v>
      </c>
      <c r="AD859" t="s">
        <v>6772</v>
      </c>
      <c r="AE859" t="s">
        <v>6786</v>
      </c>
      <c r="AF859">
        <v>18</v>
      </c>
      <c r="AG859">
        <v>1</v>
      </c>
      <c r="AH859">
        <v>0</v>
      </c>
      <c r="AI859">
        <v>124.9</v>
      </c>
      <c r="AL859" t="s">
        <v>6801</v>
      </c>
      <c r="AM859">
        <v>15600</v>
      </c>
      <c r="AO859" t="s">
        <v>6915</v>
      </c>
      <c r="AP859" t="s">
        <v>6926</v>
      </c>
      <c r="AQ859" t="s">
        <v>6945</v>
      </c>
      <c r="AR859" t="s">
        <v>7002</v>
      </c>
    </row>
    <row r="860" spans="1:44">
      <c r="A860" s="1">
        <f>HYPERLINK("https://lsnyc.legalserver.org/matter/dynamic-profile/view/1904208","19-1904208")</f>
        <v>0</v>
      </c>
      <c r="B860" t="s">
        <v>84</v>
      </c>
      <c r="C860" t="s">
        <v>209</v>
      </c>
      <c r="E860" t="s">
        <v>954</v>
      </c>
      <c r="F860" t="s">
        <v>1816</v>
      </c>
      <c r="G860" t="s">
        <v>2795</v>
      </c>
      <c r="H860">
        <v>210</v>
      </c>
      <c r="I860" t="s">
        <v>3494</v>
      </c>
      <c r="J860">
        <v>10303</v>
      </c>
      <c r="K860" t="s">
        <v>3522</v>
      </c>
      <c r="L860" t="s">
        <v>3525</v>
      </c>
      <c r="M860" t="s">
        <v>3901</v>
      </c>
      <c r="N860" t="s">
        <v>4107</v>
      </c>
      <c r="O860" t="s">
        <v>4134</v>
      </c>
      <c r="Q860" t="s">
        <v>4147</v>
      </c>
      <c r="R860" t="s">
        <v>3523</v>
      </c>
      <c r="T860" t="s">
        <v>4156</v>
      </c>
      <c r="U860" t="s">
        <v>4168</v>
      </c>
      <c r="V860" t="s">
        <v>209</v>
      </c>
      <c r="W860">
        <v>1020</v>
      </c>
      <c r="X860" t="s">
        <v>4195</v>
      </c>
      <c r="Y860" t="s">
        <v>4203</v>
      </c>
      <c r="Z860" t="s">
        <v>4965</v>
      </c>
      <c r="AB860" t="s">
        <v>6310</v>
      </c>
      <c r="AC860">
        <v>0</v>
      </c>
      <c r="AD860" t="s">
        <v>6781</v>
      </c>
      <c r="AE860" t="s">
        <v>3526</v>
      </c>
      <c r="AF860">
        <v>3</v>
      </c>
      <c r="AG860">
        <v>1</v>
      </c>
      <c r="AH860">
        <v>0</v>
      </c>
      <c r="AI860">
        <v>124.9</v>
      </c>
      <c r="AL860" t="s">
        <v>6801</v>
      </c>
      <c r="AM860">
        <v>15600</v>
      </c>
      <c r="AO860" t="s">
        <v>6919</v>
      </c>
      <c r="AP860" t="s">
        <v>6940</v>
      </c>
      <c r="AQ860" t="s">
        <v>6945</v>
      </c>
      <c r="AR860" t="s">
        <v>7003</v>
      </c>
    </row>
    <row r="861" spans="1:44">
      <c r="A861" s="1">
        <f>HYPERLINK("https://lsnyc.legalserver.org/matter/dynamic-profile/view/1904914","19-1904914")</f>
        <v>0</v>
      </c>
      <c r="B861" t="s">
        <v>89</v>
      </c>
      <c r="C861" t="s">
        <v>272</v>
      </c>
      <c r="D861" t="s">
        <v>383</v>
      </c>
      <c r="E861" t="s">
        <v>955</v>
      </c>
      <c r="F861" t="s">
        <v>1283</v>
      </c>
      <c r="G861" t="s">
        <v>2431</v>
      </c>
      <c r="H861">
        <v>4</v>
      </c>
      <c r="I861" t="s">
        <v>3495</v>
      </c>
      <c r="J861">
        <v>10033</v>
      </c>
      <c r="K861" t="s">
        <v>3522</v>
      </c>
      <c r="L861" t="s">
        <v>3525</v>
      </c>
      <c r="N861" t="s">
        <v>4113</v>
      </c>
      <c r="O861" t="s">
        <v>4132</v>
      </c>
      <c r="P861" t="s">
        <v>4139</v>
      </c>
      <c r="Q861" t="s">
        <v>4147</v>
      </c>
      <c r="R861" t="s">
        <v>3523</v>
      </c>
      <c r="T861" t="s">
        <v>4156</v>
      </c>
      <c r="V861" t="s">
        <v>272</v>
      </c>
      <c r="W861">
        <v>529</v>
      </c>
      <c r="X861" t="s">
        <v>4196</v>
      </c>
      <c r="Y861" t="s">
        <v>4205</v>
      </c>
      <c r="Z861" t="s">
        <v>4966</v>
      </c>
      <c r="AB861" t="s">
        <v>6311</v>
      </c>
      <c r="AC861">
        <v>20</v>
      </c>
      <c r="AD861" t="s">
        <v>6772</v>
      </c>
      <c r="AE861" t="s">
        <v>3526</v>
      </c>
      <c r="AF861">
        <v>2</v>
      </c>
      <c r="AG861">
        <v>1</v>
      </c>
      <c r="AH861">
        <v>0</v>
      </c>
      <c r="AI861">
        <v>124.9</v>
      </c>
      <c r="AL861" t="s">
        <v>6801</v>
      </c>
      <c r="AM861">
        <v>15600</v>
      </c>
    </row>
    <row r="862" spans="1:44">
      <c r="A862" s="1">
        <f>HYPERLINK("https://lsnyc.legalserver.org/matter/dynamic-profile/view/1916907","19-1916907")</f>
        <v>0</v>
      </c>
      <c r="B862" t="s">
        <v>72</v>
      </c>
      <c r="C862" t="s">
        <v>189</v>
      </c>
      <c r="E862" t="s">
        <v>437</v>
      </c>
      <c r="F862" t="s">
        <v>1295</v>
      </c>
      <c r="G862" t="s">
        <v>2796</v>
      </c>
      <c r="H862" t="s">
        <v>3219</v>
      </c>
      <c r="I862" t="s">
        <v>3490</v>
      </c>
      <c r="J862">
        <v>11231</v>
      </c>
      <c r="K862" t="s">
        <v>3522</v>
      </c>
      <c r="L862" t="s">
        <v>3525</v>
      </c>
      <c r="M862" t="s">
        <v>3526</v>
      </c>
      <c r="N862" t="s">
        <v>3554</v>
      </c>
      <c r="O862" t="s">
        <v>4132</v>
      </c>
      <c r="Q862" t="s">
        <v>4147</v>
      </c>
      <c r="R862" t="s">
        <v>3522</v>
      </c>
      <c r="T862" t="s">
        <v>4156</v>
      </c>
      <c r="V862" t="s">
        <v>4180</v>
      </c>
      <c r="W862">
        <v>507</v>
      </c>
      <c r="X862" t="s">
        <v>4193</v>
      </c>
      <c r="Y862" t="s">
        <v>4204</v>
      </c>
      <c r="Z862" t="s">
        <v>4967</v>
      </c>
      <c r="AB862" t="s">
        <v>6312</v>
      </c>
      <c r="AC862">
        <v>36</v>
      </c>
      <c r="AD862" t="s">
        <v>6772</v>
      </c>
      <c r="AE862" t="s">
        <v>6790</v>
      </c>
      <c r="AF862">
        <v>18</v>
      </c>
      <c r="AG862">
        <v>2</v>
      </c>
      <c r="AH862">
        <v>0</v>
      </c>
      <c r="AI862">
        <v>125.25</v>
      </c>
      <c r="AL862" t="s">
        <v>6801</v>
      </c>
      <c r="AM862">
        <v>21180.36</v>
      </c>
    </row>
    <row r="863" spans="1:44">
      <c r="A863" s="1">
        <f>HYPERLINK("https://lsnyc.legalserver.org/matter/dynamic-profile/view/1907558","19-1907558")</f>
        <v>0</v>
      </c>
      <c r="B863" t="s">
        <v>120</v>
      </c>
      <c r="C863" t="s">
        <v>211</v>
      </c>
      <c r="E863" t="s">
        <v>956</v>
      </c>
      <c r="F863" t="s">
        <v>1817</v>
      </c>
      <c r="G863" t="s">
        <v>2797</v>
      </c>
      <c r="H863" t="s">
        <v>3371</v>
      </c>
      <c r="I863" t="s">
        <v>3519</v>
      </c>
      <c r="J863">
        <v>10301</v>
      </c>
      <c r="K863" t="s">
        <v>3522</v>
      </c>
      <c r="L863" t="s">
        <v>3525</v>
      </c>
      <c r="M863" t="s">
        <v>3902</v>
      </c>
      <c r="N863" t="s">
        <v>4109</v>
      </c>
      <c r="O863" t="s">
        <v>4134</v>
      </c>
      <c r="Q863" t="s">
        <v>4147</v>
      </c>
      <c r="R863" t="s">
        <v>3523</v>
      </c>
      <c r="T863" t="s">
        <v>4156</v>
      </c>
      <c r="U863" t="s">
        <v>4168</v>
      </c>
      <c r="V863" t="s">
        <v>211</v>
      </c>
      <c r="W863">
        <v>1599</v>
      </c>
      <c r="X863" t="s">
        <v>4195</v>
      </c>
      <c r="Y863" t="s">
        <v>4209</v>
      </c>
      <c r="Z863" t="s">
        <v>4968</v>
      </c>
      <c r="AB863" t="s">
        <v>6313</v>
      </c>
      <c r="AC863">
        <v>224</v>
      </c>
      <c r="AD863" t="s">
        <v>6772</v>
      </c>
      <c r="AE863" t="s">
        <v>3526</v>
      </c>
      <c r="AF863">
        <v>1</v>
      </c>
      <c r="AG863">
        <v>2</v>
      </c>
      <c r="AH863">
        <v>0</v>
      </c>
      <c r="AI863">
        <v>125.25</v>
      </c>
      <c r="AL863" t="s">
        <v>6801</v>
      </c>
      <c r="AM863">
        <v>21180</v>
      </c>
    </row>
    <row r="864" spans="1:44">
      <c r="A864" s="1">
        <f>HYPERLINK("https://lsnyc.legalserver.org/matter/dynamic-profile/view/1906369","19-1906369")</f>
        <v>0</v>
      </c>
      <c r="B864" t="s">
        <v>169</v>
      </c>
      <c r="C864" t="s">
        <v>241</v>
      </c>
      <c r="E864" t="s">
        <v>515</v>
      </c>
      <c r="F864" t="s">
        <v>1428</v>
      </c>
      <c r="G864" t="s">
        <v>2798</v>
      </c>
      <c r="H864" t="s">
        <v>3242</v>
      </c>
      <c r="I864" t="s">
        <v>3493</v>
      </c>
      <c r="J864">
        <v>10467</v>
      </c>
      <c r="K864" t="s">
        <v>3524</v>
      </c>
      <c r="N864" t="s">
        <v>4116</v>
      </c>
      <c r="O864" t="s">
        <v>4135</v>
      </c>
      <c r="Q864" t="s">
        <v>4147</v>
      </c>
      <c r="R864" t="s">
        <v>3523</v>
      </c>
      <c r="T864" t="s">
        <v>4159</v>
      </c>
      <c r="V864" t="s">
        <v>230</v>
      </c>
      <c r="W864">
        <v>0</v>
      </c>
      <c r="X864" t="s">
        <v>4194</v>
      </c>
      <c r="Z864" t="s">
        <v>4969</v>
      </c>
      <c r="AB864" t="s">
        <v>6314</v>
      </c>
      <c r="AC864">
        <v>0</v>
      </c>
      <c r="AD864" t="s">
        <v>6772</v>
      </c>
      <c r="AF864">
        <v>0</v>
      </c>
      <c r="AG864">
        <v>2</v>
      </c>
      <c r="AH864">
        <v>0</v>
      </c>
      <c r="AI864">
        <v>125.68</v>
      </c>
      <c r="AL864" t="s">
        <v>6801</v>
      </c>
      <c r="AM864">
        <v>21252</v>
      </c>
    </row>
    <row r="865" spans="1:44">
      <c r="A865" s="1">
        <f>HYPERLINK("https://lsnyc.legalserver.org/matter/dynamic-profile/view/1917032","19-1917032")</f>
        <v>0</v>
      </c>
      <c r="B865" t="s">
        <v>91</v>
      </c>
      <c r="C865" t="s">
        <v>243</v>
      </c>
      <c r="E865" t="s">
        <v>957</v>
      </c>
      <c r="F865" t="s">
        <v>1503</v>
      </c>
      <c r="G865" t="s">
        <v>2799</v>
      </c>
      <c r="H865">
        <v>3</v>
      </c>
      <c r="I865" t="s">
        <v>3495</v>
      </c>
      <c r="J865">
        <v>10029</v>
      </c>
      <c r="K865" t="s">
        <v>3522</v>
      </c>
      <c r="L865" t="s">
        <v>3525</v>
      </c>
      <c r="N865" t="s">
        <v>3554</v>
      </c>
      <c r="O865" t="s">
        <v>4135</v>
      </c>
      <c r="Q865" t="s">
        <v>4147</v>
      </c>
      <c r="R865" t="s">
        <v>3522</v>
      </c>
      <c r="T865" t="s">
        <v>4156</v>
      </c>
      <c r="U865" t="s">
        <v>4168</v>
      </c>
      <c r="V865" t="s">
        <v>243</v>
      </c>
      <c r="W865">
        <v>877.2</v>
      </c>
      <c r="X865" t="s">
        <v>4196</v>
      </c>
      <c r="Y865" t="s">
        <v>4200</v>
      </c>
      <c r="Z865" t="s">
        <v>4970</v>
      </c>
      <c r="AC865">
        <v>4</v>
      </c>
      <c r="AD865" t="s">
        <v>5524</v>
      </c>
      <c r="AE865" t="s">
        <v>3526</v>
      </c>
      <c r="AF865">
        <v>29</v>
      </c>
      <c r="AG865">
        <v>4</v>
      </c>
      <c r="AH865">
        <v>0</v>
      </c>
      <c r="AI865">
        <v>125.83</v>
      </c>
      <c r="AL865" t="s">
        <v>6802</v>
      </c>
      <c r="AM865">
        <v>32400</v>
      </c>
    </row>
    <row r="866" spans="1:44">
      <c r="A866" s="1">
        <f>HYPERLINK("https://lsnyc.legalserver.org/matter/dynamic-profile/view/1905955","19-1905955")</f>
        <v>0</v>
      </c>
      <c r="B866" t="s">
        <v>132</v>
      </c>
      <c r="C866" t="s">
        <v>285</v>
      </c>
      <c r="D866" t="s">
        <v>279</v>
      </c>
      <c r="E866" t="s">
        <v>958</v>
      </c>
      <c r="F866" t="s">
        <v>1818</v>
      </c>
      <c r="G866" t="s">
        <v>2800</v>
      </c>
      <c r="H866" t="s">
        <v>3158</v>
      </c>
      <c r="I866" t="s">
        <v>3495</v>
      </c>
      <c r="J866">
        <v>10030</v>
      </c>
      <c r="K866" t="s">
        <v>3522</v>
      </c>
      <c r="L866" t="s">
        <v>3525</v>
      </c>
      <c r="M866" t="s">
        <v>3903</v>
      </c>
      <c r="N866" t="s">
        <v>4107</v>
      </c>
      <c r="O866" t="s">
        <v>4132</v>
      </c>
      <c r="P866" t="s">
        <v>4139</v>
      </c>
      <c r="Q866" t="s">
        <v>4147</v>
      </c>
      <c r="R866" t="s">
        <v>3523</v>
      </c>
      <c r="T866" t="s">
        <v>4156</v>
      </c>
      <c r="U866" t="s">
        <v>4168</v>
      </c>
      <c r="V866" t="s">
        <v>285</v>
      </c>
      <c r="W866">
        <v>143</v>
      </c>
      <c r="X866" t="s">
        <v>4196</v>
      </c>
      <c r="Y866" t="s">
        <v>4203</v>
      </c>
      <c r="Z866" t="s">
        <v>4971</v>
      </c>
      <c r="AB866" t="s">
        <v>6315</v>
      </c>
      <c r="AC866">
        <v>18</v>
      </c>
      <c r="AD866" t="s">
        <v>6778</v>
      </c>
      <c r="AE866" t="s">
        <v>6794</v>
      </c>
      <c r="AF866">
        <v>40</v>
      </c>
      <c r="AG866">
        <v>1</v>
      </c>
      <c r="AH866">
        <v>0</v>
      </c>
      <c r="AI866">
        <v>126.47</v>
      </c>
      <c r="AL866" t="s">
        <v>6801</v>
      </c>
      <c r="AM866">
        <v>15796</v>
      </c>
    </row>
    <row r="867" spans="1:44">
      <c r="A867" s="1">
        <f>HYPERLINK("https://lsnyc.legalserver.org/matter/dynamic-profile/view/1916417","19-1916417")</f>
        <v>0</v>
      </c>
      <c r="B867" t="s">
        <v>87</v>
      </c>
      <c r="C867" t="s">
        <v>223</v>
      </c>
      <c r="E867" t="s">
        <v>520</v>
      </c>
      <c r="F867" t="s">
        <v>1713</v>
      </c>
      <c r="G867" t="s">
        <v>2801</v>
      </c>
      <c r="H867" t="s">
        <v>3131</v>
      </c>
      <c r="I867" t="s">
        <v>3495</v>
      </c>
      <c r="J867">
        <v>10034</v>
      </c>
      <c r="K867" t="s">
        <v>3522</v>
      </c>
      <c r="L867" t="s">
        <v>3525</v>
      </c>
      <c r="M867" t="s">
        <v>3904</v>
      </c>
      <c r="N867" t="s">
        <v>4107</v>
      </c>
      <c r="O867" t="s">
        <v>4136</v>
      </c>
      <c r="Q867" t="s">
        <v>4147</v>
      </c>
      <c r="R867" t="s">
        <v>3523</v>
      </c>
      <c r="T867" t="s">
        <v>4156</v>
      </c>
      <c r="V867" t="s">
        <v>223</v>
      </c>
      <c r="W867">
        <v>809</v>
      </c>
      <c r="X867" t="s">
        <v>4196</v>
      </c>
      <c r="Y867" t="s">
        <v>4205</v>
      </c>
      <c r="Z867" t="s">
        <v>4972</v>
      </c>
      <c r="AB867" t="s">
        <v>6316</v>
      </c>
      <c r="AC867">
        <v>16</v>
      </c>
      <c r="AD867" t="s">
        <v>6772</v>
      </c>
      <c r="AE867" t="s">
        <v>3526</v>
      </c>
      <c r="AF867">
        <v>4</v>
      </c>
      <c r="AG867">
        <v>2</v>
      </c>
      <c r="AH867">
        <v>3</v>
      </c>
      <c r="AI867">
        <v>126.68</v>
      </c>
      <c r="AL867" t="s">
        <v>6802</v>
      </c>
      <c r="AM867">
        <v>38220</v>
      </c>
    </row>
    <row r="868" spans="1:44">
      <c r="A868" s="1">
        <f>HYPERLINK("https://lsnyc.legalserver.org/matter/dynamic-profile/view/1915899","19-1915899")</f>
        <v>0</v>
      </c>
      <c r="B868" t="s">
        <v>68</v>
      </c>
      <c r="C868" t="s">
        <v>220</v>
      </c>
      <c r="E868" t="s">
        <v>749</v>
      </c>
      <c r="F868" t="s">
        <v>1608</v>
      </c>
      <c r="G868" t="s">
        <v>2334</v>
      </c>
      <c r="H868" t="s">
        <v>3161</v>
      </c>
      <c r="I868" t="s">
        <v>3490</v>
      </c>
      <c r="J868">
        <v>11213</v>
      </c>
      <c r="K868" t="s">
        <v>3522</v>
      </c>
      <c r="L868" t="s">
        <v>3525</v>
      </c>
      <c r="M868" t="s">
        <v>3570</v>
      </c>
      <c r="N868" t="s">
        <v>4115</v>
      </c>
      <c r="O868" t="s">
        <v>4134</v>
      </c>
      <c r="Q868" t="s">
        <v>4147</v>
      </c>
      <c r="R868" t="s">
        <v>3522</v>
      </c>
      <c r="T868" t="s">
        <v>4156</v>
      </c>
      <c r="U868" t="s">
        <v>4168</v>
      </c>
      <c r="V868" t="s">
        <v>325</v>
      </c>
      <c r="W868">
        <v>1500</v>
      </c>
      <c r="X868" t="s">
        <v>4193</v>
      </c>
      <c r="Y868" t="s">
        <v>4201</v>
      </c>
      <c r="Z868" t="s">
        <v>4661</v>
      </c>
      <c r="AA868" t="s">
        <v>3562</v>
      </c>
      <c r="AB868" t="s">
        <v>6032</v>
      </c>
      <c r="AC868">
        <v>35</v>
      </c>
      <c r="AD868" t="s">
        <v>6772</v>
      </c>
      <c r="AE868" t="s">
        <v>3526</v>
      </c>
      <c r="AF868">
        <v>3</v>
      </c>
      <c r="AG868">
        <v>3</v>
      </c>
      <c r="AH868">
        <v>1</v>
      </c>
      <c r="AI868">
        <v>126.76</v>
      </c>
      <c r="AL868" t="s">
        <v>6801</v>
      </c>
      <c r="AM868">
        <v>32640</v>
      </c>
    </row>
    <row r="869" spans="1:44">
      <c r="A869" s="1">
        <f>HYPERLINK("https://lsnyc.legalserver.org/matter/dynamic-profile/view/1906581","19-1906581")</f>
        <v>0</v>
      </c>
      <c r="B869" t="s">
        <v>45</v>
      </c>
      <c r="C869" t="s">
        <v>250</v>
      </c>
      <c r="E869" t="s">
        <v>450</v>
      </c>
      <c r="F869" t="s">
        <v>1819</v>
      </c>
      <c r="G869" t="s">
        <v>2802</v>
      </c>
      <c r="H869" t="s">
        <v>3135</v>
      </c>
      <c r="I869" t="s">
        <v>3520</v>
      </c>
      <c r="J869">
        <v>11372</v>
      </c>
      <c r="K869" t="s">
        <v>3522</v>
      </c>
      <c r="L869" t="s">
        <v>3525</v>
      </c>
      <c r="M869" t="s">
        <v>3905</v>
      </c>
      <c r="N869" t="s">
        <v>4107</v>
      </c>
      <c r="O869" t="s">
        <v>4134</v>
      </c>
      <c r="Q869" t="s">
        <v>4147</v>
      </c>
      <c r="R869" t="s">
        <v>3523</v>
      </c>
      <c r="T869" t="s">
        <v>4156</v>
      </c>
      <c r="U869" t="s">
        <v>4168</v>
      </c>
      <c r="V869" t="s">
        <v>250</v>
      </c>
      <c r="W869">
        <v>1150</v>
      </c>
      <c r="X869" t="s">
        <v>4192</v>
      </c>
      <c r="Y869" t="s">
        <v>4197</v>
      </c>
      <c r="Z869" t="s">
        <v>4973</v>
      </c>
      <c r="AA869" t="s">
        <v>5622</v>
      </c>
      <c r="AB869" t="s">
        <v>6317</v>
      </c>
      <c r="AC869">
        <v>101</v>
      </c>
      <c r="AD869" t="s">
        <v>6772</v>
      </c>
      <c r="AE869" t="s">
        <v>3526</v>
      </c>
      <c r="AF869">
        <v>22</v>
      </c>
      <c r="AG869">
        <v>3</v>
      </c>
      <c r="AH869">
        <v>0</v>
      </c>
      <c r="AI869">
        <v>127.52</v>
      </c>
      <c r="AL869" t="s">
        <v>6802</v>
      </c>
      <c r="AM869">
        <v>27200</v>
      </c>
      <c r="AP869" t="s">
        <v>4200</v>
      </c>
    </row>
    <row r="870" spans="1:44">
      <c r="A870" s="1">
        <f>HYPERLINK("https://lsnyc.legalserver.org/matter/dynamic-profile/view/1910351","19-1910351")</f>
        <v>0</v>
      </c>
      <c r="B870" t="s">
        <v>70</v>
      </c>
      <c r="C870" t="s">
        <v>233</v>
      </c>
      <c r="D870" t="s">
        <v>242</v>
      </c>
      <c r="E870" t="s">
        <v>959</v>
      </c>
      <c r="F870" t="s">
        <v>1820</v>
      </c>
      <c r="G870" t="s">
        <v>2415</v>
      </c>
      <c r="H870" t="s">
        <v>3146</v>
      </c>
      <c r="I870" t="s">
        <v>3490</v>
      </c>
      <c r="J870">
        <v>11212</v>
      </c>
      <c r="K870" t="s">
        <v>3522</v>
      </c>
      <c r="L870" t="s">
        <v>3525</v>
      </c>
      <c r="M870" t="s">
        <v>3529</v>
      </c>
      <c r="N870" t="s">
        <v>4112</v>
      </c>
      <c r="O870" t="s">
        <v>4135</v>
      </c>
      <c r="P870" t="s">
        <v>4142</v>
      </c>
      <c r="Q870" t="s">
        <v>4147</v>
      </c>
      <c r="R870" t="s">
        <v>3522</v>
      </c>
      <c r="T870" t="s">
        <v>4156</v>
      </c>
      <c r="U870" t="s">
        <v>4168</v>
      </c>
      <c r="V870" t="s">
        <v>210</v>
      </c>
      <c r="W870">
        <v>1326</v>
      </c>
      <c r="X870" t="s">
        <v>4193</v>
      </c>
      <c r="Y870" t="s">
        <v>4201</v>
      </c>
      <c r="Z870" t="s">
        <v>4974</v>
      </c>
      <c r="AA870" t="s">
        <v>3562</v>
      </c>
      <c r="AB870" t="s">
        <v>6318</v>
      </c>
      <c r="AC870">
        <v>4</v>
      </c>
      <c r="AD870" t="s">
        <v>5524</v>
      </c>
      <c r="AE870" t="s">
        <v>3526</v>
      </c>
      <c r="AF870">
        <v>9</v>
      </c>
      <c r="AG870">
        <v>2</v>
      </c>
      <c r="AH870">
        <v>0</v>
      </c>
      <c r="AI870">
        <v>127.74</v>
      </c>
      <c r="AL870" t="s">
        <v>6801</v>
      </c>
      <c r="AM870">
        <v>21600</v>
      </c>
    </row>
    <row r="871" spans="1:44">
      <c r="A871" s="1">
        <f>HYPERLINK("https://lsnyc.legalserver.org/matter/dynamic-profile/view/1907929","19-1907929")</f>
        <v>0</v>
      </c>
      <c r="B871" t="s">
        <v>170</v>
      </c>
      <c r="C871" t="s">
        <v>193</v>
      </c>
      <c r="D871" t="s">
        <v>245</v>
      </c>
      <c r="E871" t="s">
        <v>839</v>
      </c>
      <c r="F871" t="s">
        <v>1821</v>
      </c>
      <c r="G871" t="s">
        <v>2803</v>
      </c>
      <c r="I871" t="s">
        <v>3488</v>
      </c>
      <c r="J871">
        <v>11358</v>
      </c>
      <c r="K871" t="s">
        <v>3522</v>
      </c>
      <c r="L871" t="s">
        <v>3525</v>
      </c>
      <c r="M871" t="s">
        <v>3906</v>
      </c>
      <c r="N871" t="s">
        <v>4107</v>
      </c>
      <c r="O871" t="s">
        <v>4134</v>
      </c>
      <c r="P871" t="s">
        <v>4140</v>
      </c>
      <c r="Q871" t="s">
        <v>4147</v>
      </c>
      <c r="R871" t="s">
        <v>3523</v>
      </c>
      <c r="T871" t="s">
        <v>4156</v>
      </c>
      <c r="U871" t="s">
        <v>4168</v>
      </c>
      <c r="V871" t="s">
        <v>193</v>
      </c>
      <c r="W871">
        <v>1</v>
      </c>
      <c r="X871" t="s">
        <v>4192</v>
      </c>
      <c r="Y871" t="s">
        <v>4197</v>
      </c>
      <c r="Z871" t="s">
        <v>4975</v>
      </c>
      <c r="AA871" t="s">
        <v>3526</v>
      </c>
      <c r="AB871" t="s">
        <v>6319</v>
      </c>
      <c r="AC871">
        <v>1</v>
      </c>
      <c r="AD871" t="s">
        <v>6771</v>
      </c>
      <c r="AE871" t="s">
        <v>3526</v>
      </c>
      <c r="AF871">
        <v>8</v>
      </c>
      <c r="AG871">
        <v>3</v>
      </c>
      <c r="AH871">
        <v>1</v>
      </c>
      <c r="AI871">
        <v>127.77</v>
      </c>
      <c r="AL871" t="s">
        <v>6818</v>
      </c>
      <c r="AM871">
        <v>32900</v>
      </c>
      <c r="AO871" t="s">
        <v>6920</v>
      </c>
      <c r="AP871" t="s">
        <v>6928</v>
      </c>
      <c r="AQ871" t="s">
        <v>6945</v>
      </c>
      <c r="AR871" t="s">
        <v>7004</v>
      </c>
    </row>
    <row r="872" spans="1:44">
      <c r="A872" s="1">
        <f>HYPERLINK("https://lsnyc.legalserver.org/matter/dynamic-profile/view/1910165","19-1910165")</f>
        <v>0</v>
      </c>
      <c r="B872" t="s">
        <v>60</v>
      </c>
      <c r="C872" t="s">
        <v>318</v>
      </c>
      <c r="E872" t="s">
        <v>493</v>
      </c>
      <c r="F872" t="s">
        <v>1822</v>
      </c>
      <c r="G872" t="s">
        <v>2804</v>
      </c>
      <c r="I872" t="s">
        <v>3490</v>
      </c>
      <c r="J872">
        <v>11212</v>
      </c>
      <c r="K872" t="s">
        <v>3522</v>
      </c>
      <c r="L872" t="s">
        <v>3525</v>
      </c>
      <c r="M872" t="s">
        <v>3907</v>
      </c>
      <c r="N872" t="s">
        <v>4107</v>
      </c>
      <c r="O872" t="s">
        <v>4134</v>
      </c>
      <c r="Q872" t="s">
        <v>4147</v>
      </c>
      <c r="R872" t="s">
        <v>3523</v>
      </c>
      <c r="T872" t="s">
        <v>4156</v>
      </c>
      <c r="U872" t="s">
        <v>4168</v>
      </c>
      <c r="V872" t="s">
        <v>333</v>
      </c>
      <c r="W872">
        <v>700</v>
      </c>
      <c r="X872" t="s">
        <v>4193</v>
      </c>
      <c r="Y872" t="s">
        <v>4205</v>
      </c>
      <c r="Z872" t="s">
        <v>4976</v>
      </c>
      <c r="AA872" t="s">
        <v>5505</v>
      </c>
      <c r="AB872" t="s">
        <v>6320</v>
      </c>
      <c r="AC872">
        <v>39</v>
      </c>
      <c r="AD872" t="s">
        <v>6772</v>
      </c>
      <c r="AE872" t="s">
        <v>6789</v>
      </c>
      <c r="AF872">
        <v>26</v>
      </c>
      <c r="AG872">
        <v>3</v>
      </c>
      <c r="AH872">
        <v>1</v>
      </c>
      <c r="AI872">
        <v>127.88</v>
      </c>
      <c r="AL872" t="s">
        <v>6801</v>
      </c>
      <c r="AM872">
        <v>32928</v>
      </c>
    </row>
    <row r="873" spans="1:44">
      <c r="A873" s="1">
        <f>HYPERLINK("https://lsnyc.legalserver.org/matter/dynamic-profile/view/1912190","19-1912190")</f>
        <v>0</v>
      </c>
      <c r="B873" t="s">
        <v>60</v>
      </c>
      <c r="C873" t="s">
        <v>256</v>
      </c>
      <c r="E873" t="s">
        <v>960</v>
      </c>
      <c r="F873" t="s">
        <v>1379</v>
      </c>
      <c r="G873" t="s">
        <v>2804</v>
      </c>
      <c r="H873" t="s">
        <v>3161</v>
      </c>
      <c r="I873" t="s">
        <v>3490</v>
      </c>
      <c r="J873">
        <v>11212</v>
      </c>
      <c r="K873" t="s">
        <v>3522</v>
      </c>
      <c r="L873" t="s">
        <v>3525</v>
      </c>
      <c r="M873" t="s">
        <v>3907</v>
      </c>
      <c r="N873" t="s">
        <v>4107</v>
      </c>
      <c r="O873" t="s">
        <v>4134</v>
      </c>
      <c r="Q873" t="s">
        <v>4147</v>
      </c>
      <c r="R873" t="s">
        <v>3523</v>
      </c>
      <c r="T873" t="s">
        <v>4156</v>
      </c>
      <c r="U873" t="s">
        <v>4168</v>
      </c>
      <c r="V873" t="s">
        <v>333</v>
      </c>
      <c r="W873">
        <v>700</v>
      </c>
      <c r="X873" t="s">
        <v>4193</v>
      </c>
      <c r="Y873" t="s">
        <v>4205</v>
      </c>
      <c r="Z873" t="s">
        <v>4977</v>
      </c>
      <c r="AA873" t="s">
        <v>5485</v>
      </c>
      <c r="AB873" t="s">
        <v>6321</v>
      </c>
      <c r="AC873">
        <v>39</v>
      </c>
      <c r="AD873" t="s">
        <v>6772</v>
      </c>
      <c r="AE873" t="s">
        <v>6789</v>
      </c>
      <c r="AF873">
        <v>26</v>
      </c>
      <c r="AG873">
        <v>3</v>
      </c>
      <c r="AH873">
        <v>1</v>
      </c>
      <c r="AI873">
        <v>127.88</v>
      </c>
      <c r="AL873" t="s">
        <v>6801</v>
      </c>
      <c r="AM873">
        <v>32928</v>
      </c>
    </row>
    <row r="874" spans="1:44">
      <c r="A874" s="1">
        <f>HYPERLINK("https://lsnyc.legalserver.org/matter/dynamic-profile/view/1915947","19-1915947")</f>
        <v>0</v>
      </c>
      <c r="B874" t="s">
        <v>56</v>
      </c>
      <c r="C874" t="s">
        <v>220</v>
      </c>
      <c r="D874" t="s">
        <v>299</v>
      </c>
      <c r="E874" t="s">
        <v>961</v>
      </c>
      <c r="F874" t="s">
        <v>1823</v>
      </c>
      <c r="G874" t="s">
        <v>2805</v>
      </c>
      <c r="H874" t="s">
        <v>3372</v>
      </c>
      <c r="I874" t="s">
        <v>3490</v>
      </c>
      <c r="J874">
        <v>11216</v>
      </c>
      <c r="K874" t="s">
        <v>3522</v>
      </c>
      <c r="N874" t="s">
        <v>4112</v>
      </c>
      <c r="O874" t="s">
        <v>4133</v>
      </c>
      <c r="P874" t="s">
        <v>4146</v>
      </c>
      <c r="Q874" t="s">
        <v>4147</v>
      </c>
      <c r="T874" t="s">
        <v>4156</v>
      </c>
      <c r="V874" t="s">
        <v>303</v>
      </c>
      <c r="W874">
        <v>272.01</v>
      </c>
      <c r="X874" t="s">
        <v>4193</v>
      </c>
      <c r="Y874" t="s">
        <v>4201</v>
      </c>
      <c r="Z874" t="s">
        <v>4978</v>
      </c>
      <c r="AB874" t="s">
        <v>6322</v>
      </c>
      <c r="AC874">
        <v>4</v>
      </c>
      <c r="AD874" t="s">
        <v>6772</v>
      </c>
      <c r="AF874">
        <v>13</v>
      </c>
      <c r="AG874">
        <v>2</v>
      </c>
      <c r="AH874">
        <v>2</v>
      </c>
      <c r="AI874">
        <v>129.37</v>
      </c>
      <c r="AL874" t="s">
        <v>6801</v>
      </c>
      <c r="AM874">
        <v>33313</v>
      </c>
    </row>
    <row r="875" spans="1:44">
      <c r="A875" s="1">
        <f>HYPERLINK("https://lsnyc.legalserver.org/matter/dynamic-profile/view/1900774","19-1900774")</f>
        <v>0</v>
      </c>
      <c r="B875" t="s">
        <v>122</v>
      </c>
      <c r="C875" t="s">
        <v>351</v>
      </c>
      <c r="E875" t="s">
        <v>962</v>
      </c>
      <c r="F875" t="s">
        <v>1370</v>
      </c>
      <c r="G875" t="s">
        <v>2806</v>
      </c>
      <c r="H875" t="s">
        <v>3373</v>
      </c>
      <c r="I875" t="s">
        <v>3487</v>
      </c>
      <c r="J875">
        <v>11368</v>
      </c>
      <c r="K875" t="s">
        <v>3522</v>
      </c>
      <c r="L875" t="s">
        <v>3525</v>
      </c>
      <c r="M875" t="s">
        <v>3908</v>
      </c>
      <c r="N875" t="s">
        <v>4110</v>
      </c>
      <c r="O875" t="s">
        <v>4137</v>
      </c>
      <c r="Q875" t="s">
        <v>4147</v>
      </c>
      <c r="R875" t="s">
        <v>3522</v>
      </c>
      <c r="T875" t="s">
        <v>4156</v>
      </c>
      <c r="U875" t="s">
        <v>4168</v>
      </c>
      <c r="V875" t="s">
        <v>228</v>
      </c>
      <c r="W875">
        <v>940</v>
      </c>
      <c r="X875" t="s">
        <v>4192</v>
      </c>
      <c r="Y875" t="s">
        <v>4200</v>
      </c>
      <c r="Z875" t="s">
        <v>4979</v>
      </c>
      <c r="AA875" t="s">
        <v>5482</v>
      </c>
      <c r="AB875" t="s">
        <v>6323</v>
      </c>
      <c r="AC875">
        <v>50</v>
      </c>
      <c r="AD875" t="s">
        <v>6772</v>
      </c>
      <c r="AE875" t="s">
        <v>3526</v>
      </c>
      <c r="AF875">
        <v>19</v>
      </c>
      <c r="AG875">
        <v>1</v>
      </c>
      <c r="AH875">
        <v>0</v>
      </c>
      <c r="AI875">
        <v>129.7</v>
      </c>
      <c r="AL875" t="s">
        <v>6801</v>
      </c>
      <c r="AM875">
        <v>16200</v>
      </c>
      <c r="AP875" t="s">
        <v>4200</v>
      </c>
    </row>
    <row r="876" spans="1:44">
      <c r="A876" s="1">
        <f>HYPERLINK("https://lsnyc.legalserver.org/matter/dynamic-profile/view/1914640","19-1914640")</f>
        <v>0</v>
      </c>
      <c r="B876" t="s">
        <v>91</v>
      </c>
      <c r="C876" t="s">
        <v>269</v>
      </c>
      <c r="E876" t="s">
        <v>946</v>
      </c>
      <c r="F876" t="s">
        <v>1824</v>
      </c>
      <c r="G876" t="s">
        <v>2332</v>
      </c>
      <c r="H876">
        <v>407</v>
      </c>
      <c r="I876" t="s">
        <v>3495</v>
      </c>
      <c r="J876">
        <v>10029</v>
      </c>
      <c r="K876" t="s">
        <v>3522</v>
      </c>
      <c r="L876" t="s">
        <v>3525</v>
      </c>
      <c r="N876" t="s">
        <v>4108</v>
      </c>
      <c r="O876" t="s">
        <v>4136</v>
      </c>
      <c r="Q876" t="s">
        <v>4147</v>
      </c>
      <c r="R876" t="s">
        <v>3522</v>
      </c>
      <c r="T876" t="s">
        <v>4156</v>
      </c>
      <c r="U876" t="s">
        <v>4168</v>
      </c>
      <c r="V876" t="s">
        <v>245</v>
      </c>
      <c r="W876">
        <v>424</v>
      </c>
      <c r="X876" t="s">
        <v>4196</v>
      </c>
      <c r="Y876" t="s">
        <v>4198</v>
      </c>
      <c r="Z876" t="s">
        <v>4980</v>
      </c>
      <c r="AC876">
        <v>135</v>
      </c>
      <c r="AD876" t="s">
        <v>6772</v>
      </c>
      <c r="AE876" t="s">
        <v>3526</v>
      </c>
      <c r="AF876">
        <v>36</v>
      </c>
      <c r="AG876">
        <v>1</v>
      </c>
      <c r="AH876">
        <v>0</v>
      </c>
      <c r="AI876">
        <v>129.9</v>
      </c>
      <c r="AL876" t="s">
        <v>6801</v>
      </c>
      <c r="AM876">
        <v>16224</v>
      </c>
    </row>
    <row r="877" spans="1:44">
      <c r="A877" s="1">
        <f>HYPERLINK("https://lsnyc.legalserver.org/matter/dynamic-profile/view/1905941","19-1905941")</f>
        <v>0</v>
      </c>
      <c r="B877" t="s">
        <v>147</v>
      </c>
      <c r="C877" t="s">
        <v>285</v>
      </c>
      <c r="E877" t="s">
        <v>388</v>
      </c>
      <c r="F877" t="s">
        <v>1825</v>
      </c>
      <c r="G877" t="s">
        <v>2633</v>
      </c>
      <c r="H877" t="s">
        <v>3374</v>
      </c>
      <c r="I877" t="s">
        <v>3490</v>
      </c>
      <c r="J877">
        <v>11213</v>
      </c>
      <c r="K877" t="s">
        <v>3522</v>
      </c>
      <c r="L877" t="s">
        <v>3525</v>
      </c>
      <c r="M877" t="s">
        <v>3553</v>
      </c>
      <c r="N877" t="s">
        <v>3554</v>
      </c>
      <c r="O877" t="s">
        <v>4136</v>
      </c>
      <c r="Q877" t="s">
        <v>4147</v>
      </c>
      <c r="R877" t="s">
        <v>3522</v>
      </c>
      <c r="T877" t="s">
        <v>4156</v>
      </c>
      <c r="U877" t="s">
        <v>4168</v>
      </c>
      <c r="V877" t="s">
        <v>206</v>
      </c>
      <c r="W877">
        <v>1139.5</v>
      </c>
      <c r="X877" t="s">
        <v>4193</v>
      </c>
      <c r="Y877" t="s">
        <v>4206</v>
      </c>
      <c r="Z877" t="s">
        <v>4981</v>
      </c>
      <c r="AA877" t="s">
        <v>3562</v>
      </c>
      <c r="AB877" t="s">
        <v>6324</v>
      </c>
      <c r="AC877">
        <v>34</v>
      </c>
      <c r="AD877" t="s">
        <v>6772</v>
      </c>
      <c r="AE877" t="s">
        <v>3526</v>
      </c>
      <c r="AF877">
        <v>1</v>
      </c>
      <c r="AG877">
        <v>1</v>
      </c>
      <c r="AH877">
        <v>1</v>
      </c>
      <c r="AI877">
        <v>130.1</v>
      </c>
      <c r="AL877" t="s">
        <v>6801</v>
      </c>
      <c r="AM877">
        <v>22000</v>
      </c>
    </row>
    <row r="878" spans="1:44">
      <c r="A878" s="1">
        <f>HYPERLINK("https://lsnyc.legalserver.org/matter/dynamic-profile/view/1907870","19-1907870")</f>
        <v>0</v>
      </c>
      <c r="B878" t="s">
        <v>94</v>
      </c>
      <c r="C878" t="s">
        <v>298</v>
      </c>
      <c r="D878" t="s">
        <v>243</v>
      </c>
      <c r="E878" t="s">
        <v>393</v>
      </c>
      <c r="F878" t="s">
        <v>1328</v>
      </c>
      <c r="G878" t="s">
        <v>2807</v>
      </c>
      <c r="H878" t="s">
        <v>3149</v>
      </c>
      <c r="I878" t="s">
        <v>3495</v>
      </c>
      <c r="J878">
        <v>10035</v>
      </c>
      <c r="K878" t="s">
        <v>3522</v>
      </c>
      <c r="L878" t="s">
        <v>3525</v>
      </c>
      <c r="N878" t="s">
        <v>3554</v>
      </c>
      <c r="O878" t="s">
        <v>4135</v>
      </c>
      <c r="P878" t="s">
        <v>4142</v>
      </c>
      <c r="Q878" t="s">
        <v>4147</v>
      </c>
      <c r="R878" t="s">
        <v>3523</v>
      </c>
      <c r="T878" t="s">
        <v>4156</v>
      </c>
      <c r="U878" t="s">
        <v>4168</v>
      </c>
      <c r="V878" t="s">
        <v>298</v>
      </c>
      <c r="W878">
        <v>1530</v>
      </c>
      <c r="X878" t="s">
        <v>4196</v>
      </c>
      <c r="Y878" t="s">
        <v>4200</v>
      </c>
      <c r="Z878" t="s">
        <v>4982</v>
      </c>
      <c r="AB878" t="s">
        <v>6325</v>
      </c>
      <c r="AC878">
        <v>16</v>
      </c>
      <c r="AD878" t="s">
        <v>6772</v>
      </c>
      <c r="AE878" t="s">
        <v>3526</v>
      </c>
      <c r="AF878">
        <v>4</v>
      </c>
      <c r="AG878">
        <v>1</v>
      </c>
      <c r="AH878">
        <v>1</v>
      </c>
      <c r="AI878">
        <v>130.1</v>
      </c>
      <c r="AL878" t="s">
        <v>6801</v>
      </c>
      <c r="AM878">
        <v>22000</v>
      </c>
    </row>
    <row r="879" spans="1:44">
      <c r="A879" s="1">
        <f>HYPERLINK("https://lsnyc.legalserver.org/matter/dynamic-profile/view/1916642","19-1916642")</f>
        <v>0</v>
      </c>
      <c r="B879" t="s">
        <v>86</v>
      </c>
      <c r="C879" t="s">
        <v>213</v>
      </c>
      <c r="E879" t="s">
        <v>564</v>
      </c>
      <c r="F879" t="s">
        <v>1431</v>
      </c>
      <c r="G879" t="s">
        <v>2349</v>
      </c>
      <c r="I879" t="s">
        <v>3495</v>
      </c>
      <c r="J879">
        <v>10033</v>
      </c>
      <c r="K879" t="s">
        <v>3522</v>
      </c>
      <c r="L879" t="s">
        <v>3525</v>
      </c>
      <c r="N879" t="s">
        <v>4116</v>
      </c>
      <c r="O879" t="s">
        <v>4133</v>
      </c>
      <c r="Q879" t="s">
        <v>4147</v>
      </c>
      <c r="R879" t="s">
        <v>3523</v>
      </c>
      <c r="T879" t="s">
        <v>4156</v>
      </c>
      <c r="V879" t="s">
        <v>213</v>
      </c>
      <c r="W879">
        <v>811.77</v>
      </c>
      <c r="X879" t="s">
        <v>4196</v>
      </c>
      <c r="Y879" t="s">
        <v>4201</v>
      </c>
      <c r="Z879" t="s">
        <v>4410</v>
      </c>
      <c r="AB879" t="s">
        <v>5809</v>
      </c>
      <c r="AC879">
        <v>24</v>
      </c>
      <c r="AD879" t="s">
        <v>6772</v>
      </c>
      <c r="AE879" t="s">
        <v>6791</v>
      </c>
      <c r="AF879">
        <v>45</v>
      </c>
      <c r="AG879">
        <v>2</v>
      </c>
      <c r="AH879">
        <v>0</v>
      </c>
      <c r="AI879">
        <v>130.15</v>
      </c>
      <c r="AL879" t="s">
        <v>6802</v>
      </c>
      <c r="AM879">
        <v>22008</v>
      </c>
    </row>
    <row r="880" spans="1:44">
      <c r="A880" s="1">
        <f>HYPERLINK("https://lsnyc.legalserver.org/matter/dynamic-profile/view/1916645","19-1916645")</f>
        <v>0</v>
      </c>
      <c r="B880" t="s">
        <v>88</v>
      </c>
      <c r="C880" t="s">
        <v>213</v>
      </c>
      <c r="E880" t="s">
        <v>564</v>
      </c>
      <c r="F880" t="s">
        <v>1431</v>
      </c>
      <c r="G880" t="s">
        <v>2349</v>
      </c>
      <c r="I880" t="s">
        <v>3495</v>
      </c>
      <c r="J880">
        <v>10033</v>
      </c>
      <c r="K880" t="s">
        <v>3522</v>
      </c>
      <c r="L880" t="s">
        <v>3525</v>
      </c>
      <c r="N880" t="s">
        <v>4113</v>
      </c>
      <c r="O880" t="s">
        <v>4133</v>
      </c>
      <c r="Q880" t="s">
        <v>4147</v>
      </c>
      <c r="R880" t="s">
        <v>3523</v>
      </c>
      <c r="T880" t="s">
        <v>4156</v>
      </c>
      <c r="V880" t="s">
        <v>213</v>
      </c>
      <c r="W880">
        <v>811.77</v>
      </c>
      <c r="X880" t="s">
        <v>4196</v>
      </c>
      <c r="Y880" t="s">
        <v>4201</v>
      </c>
      <c r="Z880" t="s">
        <v>4410</v>
      </c>
      <c r="AB880" t="s">
        <v>5809</v>
      </c>
      <c r="AC880">
        <v>24</v>
      </c>
      <c r="AD880" t="s">
        <v>6772</v>
      </c>
      <c r="AE880" t="s">
        <v>6791</v>
      </c>
      <c r="AF880">
        <v>45</v>
      </c>
      <c r="AG880">
        <v>2</v>
      </c>
      <c r="AH880">
        <v>0</v>
      </c>
      <c r="AI880">
        <v>130.15</v>
      </c>
      <c r="AL880" t="s">
        <v>6802</v>
      </c>
      <c r="AM880">
        <v>22008</v>
      </c>
    </row>
    <row r="881" spans="1:42">
      <c r="A881" s="1">
        <f>HYPERLINK("https://lsnyc.legalserver.org/matter/dynamic-profile/view/1915080","19-1915080")</f>
        <v>0</v>
      </c>
      <c r="B881" t="s">
        <v>49</v>
      </c>
      <c r="C881" t="s">
        <v>219</v>
      </c>
      <c r="E881" t="s">
        <v>489</v>
      </c>
      <c r="F881" t="s">
        <v>1826</v>
      </c>
      <c r="G881" t="s">
        <v>2808</v>
      </c>
      <c r="H881">
        <v>1039</v>
      </c>
      <c r="I881" t="s">
        <v>3501</v>
      </c>
      <c r="J881">
        <v>11101</v>
      </c>
      <c r="K881" t="s">
        <v>3522</v>
      </c>
      <c r="L881" t="s">
        <v>3527</v>
      </c>
      <c r="M881" t="s">
        <v>3909</v>
      </c>
      <c r="N881" t="s">
        <v>4109</v>
      </c>
      <c r="O881" t="s">
        <v>4134</v>
      </c>
      <c r="Q881" t="s">
        <v>4147</v>
      </c>
      <c r="R881" t="s">
        <v>3523</v>
      </c>
      <c r="T881" t="s">
        <v>4156</v>
      </c>
      <c r="U881" t="s">
        <v>4168</v>
      </c>
      <c r="V881" t="s">
        <v>258</v>
      </c>
      <c r="W881">
        <v>835</v>
      </c>
      <c r="X881" t="s">
        <v>4192</v>
      </c>
      <c r="Y881" t="s">
        <v>4197</v>
      </c>
      <c r="Z881" t="s">
        <v>4983</v>
      </c>
      <c r="AA881" t="s">
        <v>5623</v>
      </c>
      <c r="AB881" t="s">
        <v>6326</v>
      </c>
      <c r="AC881">
        <v>600</v>
      </c>
      <c r="AD881" t="s">
        <v>6772</v>
      </c>
      <c r="AE881" t="s">
        <v>6791</v>
      </c>
      <c r="AF881">
        <v>5</v>
      </c>
      <c r="AG881">
        <v>1</v>
      </c>
      <c r="AH881">
        <v>2</v>
      </c>
      <c r="AI881">
        <v>130.52</v>
      </c>
      <c r="AL881" t="s">
        <v>6801</v>
      </c>
      <c r="AM881">
        <v>27840</v>
      </c>
    </row>
    <row r="882" spans="1:42">
      <c r="A882" s="1">
        <f>HYPERLINK("https://lsnyc.legalserver.org/matter/dynamic-profile/view/1911002","19-1911002")</f>
        <v>0</v>
      </c>
      <c r="B882" t="s">
        <v>120</v>
      </c>
      <c r="C882" t="s">
        <v>215</v>
      </c>
      <c r="E882" t="s">
        <v>963</v>
      </c>
      <c r="F882" t="s">
        <v>1369</v>
      </c>
      <c r="G882" t="s">
        <v>2609</v>
      </c>
      <c r="H882" t="s">
        <v>3375</v>
      </c>
      <c r="I882" t="s">
        <v>3494</v>
      </c>
      <c r="J882">
        <v>10304</v>
      </c>
      <c r="K882" t="s">
        <v>3522</v>
      </c>
      <c r="L882" t="s">
        <v>3525</v>
      </c>
      <c r="M882" t="s">
        <v>3910</v>
      </c>
      <c r="N882" t="s">
        <v>4109</v>
      </c>
      <c r="O882" t="s">
        <v>4134</v>
      </c>
      <c r="Q882" t="s">
        <v>4147</v>
      </c>
      <c r="R882" t="s">
        <v>3523</v>
      </c>
      <c r="T882" t="s">
        <v>4156</v>
      </c>
      <c r="U882" t="s">
        <v>4168</v>
      </c>
      <c r="V882" t="s">
        <v>215</v>
      </c>
      <c r="W882">
        <v>749</v>
      </c>
      <c r="X882" t="s">
        <v>4195</v>
      </c>
      <c r="Y882" t="s">
        <v>4201</v>
      </c>
      <c r="Z882" t="s">
        <v>4984</v>
      </c>
      <c r="AB882" t="s">
        <v>6327</v>
      </c>
      <c r="AC882">
        <v>404</v>
      </c>
      <c r="AD882" t="s">
        <v>6778</v>
      </c>
      <c r="AE882" t="s">
        <v>6786</v>
      </c>
      <c r="AF882">
        <v>20</v>
      </c>
      <c r="AG882">
        <v>3</v>
      </c>
      <c r="AH882">
        <v>0</v>
      </c>
      <c r="AI882">
        <v>130.55</v>
      </c>
      <c r="AL882" t="s">
        <v>6801</v>
      </c>
      <c r="AM882">
        <v>27846</v>
      </c>
    </row>
    <row r="883" spans="1:42">
      <c r="A883" s="1">
        <f>HYPERLINK("https://lsnyc.legalserver.org/matter/dynamic-profile/view/1904878","19-1904878")</f>
        <v>0</v>
      </c>
      <c r="B883" t="s">
        <v>116</v>
      </c>
      <c r="C883" t="s">
        <v>296</v>
      </c>
      <c r="E883" t="s">
        <v>964</v>
      </c>
      <c r="F883" t="s">
        <v>1295</v>
      </c>
      <c r="G883" t="s">
        <v>2809</v>
      </c>
      <c r="H883" t="s">
        <v>3376</v>
      </c>
      <c r="I883" t="s">
        <v>3493</v>
      </c>
      <c r="J883">
        <v>10459</v>
      </c>
      <c r="K883" t="s">
        <v>3522</v>
      </c>
      <c r="L883" t="s">
        <v>3525</v>
      </c>
      <c r="M883" t="s">
        <v>3911</v>
      </c>
      <c r="N883" t="s">
        <v>4111</v>
      </c>
      <c r="O883" t="s">
        <v>4134</v>
      </c>
      <c r="Q883" t="s">
        <v>4147</v>
      </c>
      <c r="R883" t="s">
        <v>3523</v>
      </c>
      <c r="T883" t="s">
        <v>4161</v>
      </c>
      <c r="V883" t="s">
        <v>237</v>
      </c>
      <c r="W883">
        <v>1720</v>
      </c>
      <c r="X883" t="s">
        <v>4194</v>
      </c>
      <c r="Z883" t="s">
        <v>4985</v>
      </c>
      <c r="AB883" t="s">
        <v>6328</v>
      </c>
      <c r="AC883">
        <v>128</v>
      </c>
      <c r="AD883" t="s">
        <v>6772</v>
      </c>
      <c r="AE883" t="s">
        <v>3526</v>
      </c>
      <c r="AF883">
        <v>11</v>
      </c>
      <c r="AG883">
        <v>2</v>
      </c>
      <c r="AH883">
        <v>2</v>
      </c>
      <c r="AI883">
        <v>131.11</v>
      </c>
      <c r="AL883" t="s">
        <v>6801</v>
      </c>
      <c r="AM883">
        <v>33760</v>
      </c>
    </row>
    <row r="884" spans="1:42">
      <c r="A884" s="1">
        <f>HYPERLINK("https://lsnyc.legalserver.org/matter/dynamic-profile/view/1905037","19-1905037")</f>
        <v>0</v>
      </c>
      <c r="B884" t="s">
        <v>74</v>
      </c>
      <c r="C884" t="s">
        <v>216</v>
      </c>
      <c r="E884" t="s">
        <v>426</v>
      </c>
      <c r="F884" t="s">
        <v>1393</v>
      </c>
      <c r="G884" t="s">
        <v>2810</v>
      </c>
      <c r="H884" t="s">
        <v>3377</v>
      </c>
      <c r="I884" t="s">
        <v>3493</v>
      </c>
      <c r="J884">
        <v>10457</v>
      </c>
      <c r="K884" t="s">
        <v>3522</v>
      </c>
      <c r="L884" t="s">
        <v>3525</v>
      </c>
      <c r="N884" t="s">
        <v>3554</v>
      </c>
      <c r="O884" t="s">
        <v>4135</v>
      </c>
      <c r="Q884" t="s">
        <v>4147</v>
      </c>
      <c r="R884" t="s">
        <v>3523</v>
      </c>
      <c r="T884" t="s">
        <v>4156</v>
      </c>
      <c r="V884" t="s">
        <v>196</v>
      </c>
      <c r="W884">
        <v>1680</v>
      </c>
      <c r="X884" t="s">
        <v>4194</v>
      </c>
      <c r="Y884" t="s">
        <v>4200</v>
      </c>
      <c r="Z884" t="s">
        <v>4986</v>
      </c>
      <c r="AB884" t="s">
        <v>6329</v>
      </c>
      <c r="AC884">
        <v>100</v>
      </c>
      <c r="AD884" t="s">
        <v>5524</v>
      </c>
      <c r="AE884" t="s">
        <v>4200</v>
      </c>
      <c r="AF884">
        <v>16</v>
      </c>
      <c r="AG884">
        <v>1</v>
      </c>
      <c r="AH884">
        <v>3</v>
      </c>
      <c r="AI884">
        <v>131.26</v>
      </c>
      <c r="AL884" t="s">
        <v>6801</v>
      </c>
      <c r="AM884">
        <v>33800</v>
      </c>
    </row>
    <row r="885" spans="1:42">
      <c r="A885" s="1">
        <f>HYPERLINK("https://lsnyc.legalserver.org/matter/dynamic-profile/view/1901139","19-1901139")</f>
        <v>0</v>
      </c>
      <c r="B885" t="s">
        <v>47</v>
      </c>
      <c r="C885" t="s">
        <v>300</v>
      </c>
      <c r="E885" t="s">
        <v>965</v>
      </c>
      <c r="F885" t="s">
        <v>1363</v>
      </c>
      <c r="G885" t="s">
        <v>2811</v>
      </c>
      <c r="H885" t="s">
        <v>3320</v>
      </c>
      <c r="I885" t="s">
        <v>3488</v>
      </c>
      <c r="J885">
        <v>11354</v>
      </c>
      <c r="K885" t="s">
        <v>3522</v>
      </c>
      <c r="L885" t="s">
        <v>3525</v>
      </c>
      <c r="M885" t="s">
        <v>3912</v>
      </c>
      <c r="N885" t="s">
        <v>4109</v>
      </c>
      <c r="O885" t="s">
        <v>4134</v>
      </c>
      <c r="Q885" t="s">
        <v>4147</v>
      </c>
      <c r="R885" t="s">
        <v>3522</v>
      </c>
      <c r="T885" t="s">
        <v>4156</v>
      </c>
      <c r="U885" t="s">
        <v>4168</v>
      </c>
      <c r="V885" t="s">
        <v>204</v>
      </c>
      <c r="W885">
        <v>1664.64</v>
      </c>
      <c r="X885" t="s">
        <v>4192</v>
      </c>
      <c r="Y885" t="s">
        <v>4206</v>
      </c>
      <c r="Z885" t="s">
        <v>4987</v>
      </c>
      <c r="AA885" t="s">
        <v>5624</v>
      </c>
      <c r="AB885" t="s">
        <v>6330</v>
      </c>
      <c r="AC885">
        <v>72</v>
      </c>
      <c r="AD885" t="s">
        <v>6772</v>
      </c>
      <c r="AE885" t="s">
        <v>3526</v>
      </c>
      <c r="AF885">
        <v>11</v>
      </c>
      <c r="AG885">
        <v>3</v>
      </c>
      <c r="AH885">
        <v>0</v>
      </c>
      <c r="AI885">
        <v>131.27</v>
      </c>
      <c r="AL885" t="s">
        <v>6805</v>
      </c>
      <c r="AM885">
        <v>28000</v>
      </c>
    </row>
    <row r="886" spans="1:42">
      <c r="A886" s="1">
        <f>HYPERLINK("https://lsnyc.legalserver.org/matter/dynamic-profile/view/1905438","19-1905438")</f>
        <v>0</v>
      </c>
      <c r="B886" t="s">
        <v>83</v>
      </c>
      <c r="C886" t="s">
        <v>266</v>
      </c>
      <c r="D886" t="s">
        <v>276</v>
      </c>
      <c r="E886" t="s">
        <v>966</v>
      </c>
      <c r="F886" t="s">
        <v>1827</v>
      </c>
      <c r="G886" t="s">
        <v>2678</v>
      </c>
      <c r="H886" t="s">
        <v>3158</v>
      </c>
      <c r="I886" t="s">
        <v>3493</v>
      </c>
      <c r="J886">
        <v>10452</v>
      </c>
      <c r="K886" t="s">
        <v>3522</v>
      </c>
      <c r="L886" t="s">
        <v>3525</v>
      </c>
      <c r="M886" t="s">
        <v>3562</v>
      </c>
      <c r="N886" t="s">
        <v>3554</v>
      </c>
      <c r="O886" t="s">
        <v>4135</v>
      </c>
      <c r="P886" t="s">
        <v>4142</v>
      </c>
      <c r="Q886" t="s">
        <v>4147</v>
      </c>
      <c r="R886" t="s">
        <v>3523</v>
      </c>
      <c r="T886" t="s">
        <v>4156</v>
      </c>
      <c r="V886" t="s">
        <v>241</v>
      </c>
      <c r="W886">
        <v>718.41</v>
      </c>
      <c r="X886" t="s">
        <v>4194</v>
      </c>
      <c r="Y886" t="s">
        <v>4206</v>
      </c>
      <c r="Z886" t="s">
        <v>4988</v>
      </c>
      <c r="AB886" t="s">
        <v>6331</v>
      </c>
      <c r="AC886">
        <v>61</v>
      </c>
      <c r="AD886" t="s">
        <v>6772</v>
      </c>
      <c r="AE886" t="s">
        <v>6791</v>
      </c>
      <c r="AF886">
        <v>30</v>
      </c>
      <c r="AG886">
        <v>1</v>
      </c>
      <c r="AH886">
        <v>0</v>
      </c>
      <c r="AI886">
        <v>131.43</v>
      </c>
      <c r="AL886" t="s">
        <v>6801</v>
      </c>
      <c r="AM886">
        <v>16416</v>
      </c>
    </row>
    <row r="887" spans="1:42">
      <c r="A887" s="1">
        <f>HYPERLINK("https://lsnyc.legalserver.org/matter/dynamic-profile/view/1905933","19-1905933")</f>
        <v>0</v>
      </c>
      <c r="B887" t="s">
        <v>132</v>
      </c>
      <c r="C887" t="s">
        <v>285</v>
      </c>
      <c r="D887" t="s">
        <v>257</v>
      </c>
      <c r="E887" t="s">
        <v>967</v>
      </c>
      <c r="F887" t="s">
        <v>1828</v>
      </c>
      <c r="G887" t="s">
        <v>2812</v>
      </c>
      <c r="H887" t="s">
        <v>3149</v>
      </c>
      <c r="I887" t="s">
        <v>3495</v>
      </c>
      <c r="J887">
        <v>10035</v>
      </c>
      <c r="K887" t="s">
        <v>3522</v>
      </c>
      <c r="L887" t="s">
        <v>3525</v>
      </c>
      <c r="M887" t="s">
        <v>3913</v>
      </c>
      <c r="N887" t="s">
        <v>4107</v>
      </c>
      <c r="O887" t="s">
        <v>4132</v>
      </c>
      <c r="P887" t="s">
        <v>4139</v>
      </c>
      <c r="Q887" t="s">
        <v>4147</v>
      </c>
      <c r="R887" t="s">
        <v>3523</v>
      </c>
      <c r="T887" t="s">
        <v>4156</v>
      </c>
      <c r="V887" t="s">
        <v>285</v>
      </c>
      <c r="W887">
        <v>1139.4</v>
      </c>
      <c r="X887" t="s">
        <v>4196</v>
      </c>
      <c r="Y887" t="s">
        <v>4206</v>
      </c>
      <c r="Z887" t="s">
        <v>4989</v>
      </c>
      <c r="AB887" t="s">
        <v>6332</v>
      </c>
      <c r="AC887">
        <v>13</v>
      </c>
      <c r="AD887" t="s">
        <v>6772</v>
      </c>
      <c r="AE887" t="s">
        <v>3526</v>
      </c>
      <c r="AF887">
        <v>10</v>
      </c>
      <c r="AG887">
        <v>2</v>
      </c>
      <c r="AH887">
        <v>1</v>
      </c>
      <c r="AI887">
        <v>131.65</v>
      </c>
      <c r="AL887" t="s">
        <v>6802</v>
      </c>
      <c r="AM887">
        <v>28080</v>
      </c>
    </row>
    <row r="888" spans="1:42">
      <c r="A888" s="1">
        <f>HYPERLINK("https://lsnyc.legalserver.org/matter/dynamic-profile/view/1910830","19-1910830")</f>
        <v>0</v>
      </c>
      <c r="B888" t="s">
        <v>64</v>
      </c>
      <c r="C888" t="s">
        <v>201</v>
      </c>
      <c r="E888" t="s">
        <v>968</v>
      </c>
      <c r="F888" t="s">
        <v>1829</v>
      </c>
      <c r="G888" t="s">
        <v>2362</v>
      </c>
      <c r="H888" t="s">
        <v>3378</v>
      </c>
      <c r="I888" t="s">
        <v>3490</v>
      </c>
      <c r="J888">
        <v>11225</v>
      </c>
      <c r="K888" t="s">
        <v>3522</v>
      </c>
      <c r="L888" t="s">
        <v>3525</v>
      </c>
      <c r="O888" t="s">
        <v>4137</v>
      </c>
      <c r="Q888" t="s">
        <v>4147</v>
      </c>
      <c r="R888" t="s">
        <v>3522</v>
      </c>
      <c r="T888" t="s">
        <v>4156</v>
      </c>
      <c r="V888" t="s">
        <v>230</v>
      </c>
      <c r="W888">
        <v>0</v>
      </c>
      <c r="X888" t="s">
        <v>4193</v>
      </c>
      <c r="Z888" t="s">
        <v>4990</v>
      </c>
      <c r="AB888" t="s">
        <v>6333</v>
      </c>
      <c r="AC888">
        <v>11</v>
      </c>
      <c r="AF888">
        <v>0</v>
      </c>
      <c r="AG888">
        <v>1</v>
      </c>
      <c r="AH888">
        <v>1</v>
      </c>
      <c r="AI888">
        <v>131.99</v>
      </c>
      <c r="AL888" t="s">
        <v>6801</v>
      </c>
      <c r="AM888">
        <v>22320</v>
      </c>
    </row>
    <row r="889" spans="1:42">
      <c r="A889" s="1">
        <f>HYPERLINK("https://lsnyc.legalserver.org/matter/dynamic-profile/view/1915057","19-1915057")</f>
        <v>0</v>
      </c>
      <c r="B889" t="s">
        <v>64</v>
      </c>
      <c r="C889" t="s">
        <v>219</v>
      </c>
      <c r="E889" t="s">
        <v>968</v>
      </c>
      <c r="F889" t="s">
        <v>1829</v>
      </c>
      <c r="G889" t="s">
        <v>2362</v>
      </c>
      <c r="H889" t="s">
        <v>3378</v>
      </c>
      <c r="I889" t="s">
        <v>3490</v>
      </c>
      <c r="J889">
        <v>11225</v>
      </c>
      <c r="K889" t="s">
        <v>3522</v>
      </c>
      <c r="L889" t="s">
        <v>3525</v>
      </c>
      <c r="O889" t="s">
        <v>4134</v>
      </c>
      <c r="Q889" t="s">
        <v>4147</v>
      </c>
      <c r="R889" t="s">
        <v>3522</v>
      </c>
      <c r="T889" t="s">
        <v>4156</v>
      </c>
      <c r="V889" t="s">
        <v>318</v>
      </c>
      <c r="W889">
        <v>0</v>
      </c>
      <c r="X889" t="s">
        <v>4193</v>
      </c>
      <c r="Z889" t="s">
        <v>4990</v>
      </c>
      <c r="AB889" t="s">
        <v>6333</v>
      </c>
      <c r="AC889">
        <v>11</v>
      </c>
      <c r="AF889">
        <v>0</v>
      </c>
      <c r="AG889">
        <v>1</v>
      </c>
      <c r="AH889">
        <v>1</v>
      </c>
      <c r="AI889">
        <v>131.99</v>
      </c>
      <c r="AL889" t="s">
        <v>6801</v>
      </c>
      <c r="AM889">
        <v>22320</v>
      </c>
    </row>
    <row r="890" spans="1:42">
      <c r="A890" s="1">
        <f>HYPERLINK("https://lsnyc.legalserver.org/matter/dynamic-profile/view/1901281","19-1901281")</f>
        <v>0</v>
      </c>
      <c r="B890" t="s">
        <v>47</v>
      </c>
      <c r="C890" t="s">
        <v>352</v>
      </c>
      <c r="E890" t="s">
        <v>402</v>
      </c>
      <c r="F890" t="s">
        <v>1830</v>
      </c>
      <c r="G890" t="s">
        <v>2813</v>
      </c>
      <c r="H890">
        <v>516</v>
      </c>
      <c r="I890" t="s">
        <v>3488</v>
      </c>
      <c r="J890">
        <v>11355</v>
      </c>
      <c r="K890" t="s">
        <v>3522</v>
      </c>
      <c r="L890" t="s">
        <v>3525</v>
      </c>
      <c r="M890" t="s">
        <v>3914</v>
      </c>
      <c r="N890" t="s">
        <v>4107</v>
      </c>
      <c r="O890" t="s">
        <v>4134</v>
      </c>
      <c r="Q890" t="s">
        <v>4147</v>
      </c>
      <c r="R890" t="s">
        <v>3523</v>
      </c>
      <c r="T890" t="s">
        <v>4156</v>
      </c>
      <c r="U890" t="s">
        <v>4168</v>
      </c>
      <c r="V890" t="s">
        <v>273</v>
      </c>
      <c r="W890">
        <v>1378.85</v>
      </c>
      <c r="X890" t="s">
        <v>4192</v>
      </c>
      <c r="Y890" t="s">
        <v>4197</v>
      </c>
      <c r="Z890" t="s">
        <v>4991</v>
      </c>
      <c r="AB890" t="s">
        <v>6334</v>
      </c>
      <c r="AC890">
        <v>50</v>
      </c>
      <c r="AD890" t="s">
        <v>6772</v>
      </c>
      <c r="AE890" t="s">
        <v>3526</v>
      </c>
      <c r="AF890">
        <v>11</v>
      </c>
      <c r="AG890">
        <v>4</v>
      </c>
      <c r="AH890">
        <v>0</v>
      </c>
      <c r="AI890">
        <v>132.04</v>
      </c>
      <c r="AL890" t="s">
        <v>6801</v>
      </c>
      <c r="AM890">
        <v>34000</v>
      </c>
    </row>
    <row r="891" spans="1:42">
      <c r="A891" s="1">
        <f>HYPERLINK("https://lsnyc.legalserver.org/matter/dynamic-profile/view/1910172","19-1910172")</f>
        <v>0</v>
      </c>
      <c r="B891" t="s">
        <v>69</v>
      </c>
      <c r="C891" t="s">
        <v>318</v>
      </c>
      <c r="D891" t="s">
        <v>213</v>
      </c>
      <c r="E891" t="s">
        <v>876</v>
      </c>
      <c r="F891" t="s">
        <v>1513</v>
      </c>
      <c r="G891" t="s">
        <v>2710</v>
      </c>
      <c r="H891" t="s">
        <v>3157</v>
      </c>
      <c r="I891" t="s">
        <v>3490</v>
      </c>
      <c r="J891">
        <v>11212</v>
      </c>
      <c r="K891" t="s">
        <v>3522</v>
      </c>
      <c r="L891" t="s">
        <v>3525</v>
      </c>
      <c r="M891" t="s">
        <v>3915</v>
      </c>
      <c r="N891" t="s">
        <v>4109</v>
      </c>
      <c r="O891" t="s">
        <v>4132</v>
      </c>
      <c r="P891" t="s">
        <v>4139</v>
      </c>
      <c r="Q891" t="s">
        <v>4147</v>
      </c>
      <c r="R891" t="s">
        <v>3523</v>
      </c>
      <c r="T891" t="s">
        <v>4156</v>
      </c>
      <c r="U891" t="s">
        <v>4168</v>
      </c>
      <c r="V891" t="s">
        <v>318</v>
      </c>
      <c r="W891">
        <v>1643.13</v>
      </c>
      <c r="X891" t="s">
        <v>4193</v>
      </c>
      <c r="Y891" t="s">
        <v>4201</v>
      </c>
      <c r="Z891" t="s">
        <v>4854</v>
      </c>
      <c r="AA891" t="s">
        <v>3526</v>
      </c>
      <c r="AB891" t="s">
        <v>6206</v>
      </c>
      <c r="AC891">
        <v>38</v>
      </c>
      <c r="AD891" t="s">
        <v>6772</v>
      </c>
      <c r="AE891" t="s">
        <v>3526</v>
      </c>
      <c r="AF891">
        <v>9</v>
      </c>
      <c r="AG891">
        <v>4</v>
      </c>
      <c r="AH891">
        <v>0</v>
      </c>
      <c r="AI891">
        <v>132.04</v>
      </c>
      <c r="AL891" t="s">
        <v>6801</v>
      </c>
      <c r="AM891">
        <v>34000</v>
      </c>
    </row>
    <row r="892" spans="1:42">
      <c r="A892" s="1">
        <f>HYPERLINK("https://lsnyc.legalserver.org/matter/dynamic-profile/view/1912157","19-1912157")</f>
        <v>0</v>
      </c>
      <c r="B892" t="s">
        <v>89</v>
      </c>
      <c r="C892" t="s">
        <v>256</v>
      </c>
      <c r="E892" t="s">
        <v>423</v>
      </c>
      <c r="F892" t="s">
        <v>1464</v>
      </c>
      <c r="G892" t="s">
        <v>2431</v>
      </c>
      <c r="H892">
        <v>3</v>
      </c>
      <c r="I892" t="s">
        <v>3495</v>
      </c>
      <c r="J892">
        <v>10033</v>
      </c>
      <c r="K892" t="s">
        <v>3522</v>
      </c>
      <c r="L892" t="s">
        <v>3525</v>
      </c>
      <c r="N892" t="s">
        <v>4129</v>
      </c>
      <c r="O892" t="s">
        <v>4137</v>
      </c>
      <c r="Q892" t="s">
        <v>4147</v>
      </c>
      <c r="R892" t="s">
        <v>3523</v>
      </c>
      <c r="T892" t="s">
        <v>4156</v>
      </c>
      <c r="V892" t="s">
        <v>256</v>
      </c>
      <c r="W892">
        <v>923</v>
      </c>
      <c r="X892" t="s">
        <v>4196</v>
      </c>
      <c r="Y892" t="s">
        <v>4201</v>
      </c>
      <c r="Z892" t="s">
        <v>4992</v>
      </c>
      <c r="AB892" t="s">
        <v>6335</v>
      </c>
      <c r="AC892">
        <v>20</v>
      </c>
      <c r="AD892" t="s">
        <v>6772</v>
      </c>
      <c r="AE892" t="s">
        <v>3526</v>
      </c>
      <c r="AF892">
        <v>48</v>
      </c>
      <c r="AG892">
        <v>2</v>
      </c>
      <c r="AH892">
        <v>0</v>
      </c>
      <c r="AI892">
        <v>132.35</v>
      </c>
      <c r="AL892" t="s">
        <v>6802</v>
      </c>
      <c r="AM892">
        <v>22380</v>
      </c>
    </row>
    <row r="893" spans="1:42">
      <c r="A893" s="1">
        <f>HYPERLINK("https://lsnyc.legalserver.org/matter/dynamic-profile/view/1911238","19-1911238")</f>
        <v>0</v>
      </c>
      <c r="B893" t="s">
        <v>87</v>
      </c>
      <c r="C893" t="s">
        <v>324</v>
      </c>
      <c r="D893" t="s">
        <v>265</v>
      </c>
      <c r="E893" t="s">
        <v>969</v>
      </c>
      <c r="F893" t="s">
        <v>1351</v>
      </c>
      <c r="G893" t="s">
        <v>2302</v>
      </c>
      <c r="H893" t="s">
        <v>3262</v>
      </c>
      <c r="I893" t="s">
        <v>3495</v>
      </c>
      <c r="J893">
        <v>10034</v>
      </c>
      <c r="K893" t="s">
        <v>3522</v>
      </c>
      <c r="L893" t="s">
        <v>3525</v>
      </c>
      <c r="N893" t="s">
        <v>4113</v>
      </c>
      <c r="O893" t="s">
        <v>4132</v>
      </c>
      <c r="P893" t="s">
        <v>4139</v>
      </c>
      <c r="Q893" t="s">
        <v>4147</v>
      </c>
      <c r="R893" t="s">
        <v>3523</v>
      </c>
      <c r="T893" t="s">
        <v>4156</v>
      </c>
      <c r="V893" t="s">
        <v>324</v>
      </c>
      <c r="W893">
        <v>1162.16</v>
      </c>
      <c r="X893" t="s">
        <v>4196</v>
      </c>
      <c r="Y893" t="s">
        <v>4201</v>
      </c>
      <c r="Z893" t="s">
        <v>4993</v>
      </c>
      <c r="AB893" t="s">
        <v>6336</v>
      </c>
      <c r="AC893">
        <v>121</v>
      </c>
      <c r="AD893" t="s">
        <v>6772</v>
      </c>
      <c r="AE893" t="s">
        <v>6788</v>
      </c>
      <c r="AF893">
        <v>12</v>
      </c>
      <c r="AG893">
        <v>2</v>
      </c>
      <c r="AH893">
        <v>1</v>
      </c>
      <c r="AI893">
        <v>132.6</v>
      </c>
      <c r="AL893" t="s">
        <v>6801</v>
      </c>
      <c r="AM893">
        <v>28284</v>
      </c>
    </row>
    <row r="894" spans="1:42">
      <c r="A894" s="1">
        <f>HYPERLINK("https://lsnyc.legalserver.org/matter/dynamic-profile/view/1915571","19-1915571")</f>
        <v>0</v>
      </c>
      <c r="B894" t="s">
        <v>90</v>
      </c>
      <c r="C894" t="s">
        <v>200</v>
      </c>
      <c r="E894" t="s">
        <v>970</v>
      </c>
      <c r="F894" t="s">
        <v>1831</v>
      </c>
      <c r="G894" t="s">
        <v>2814</v>
      </c>
      <c r="H894" t="s">
        <v>3151</v>
      </c>
      <c r="I894" t="s">
        <v>3495</v>
      </c>
      <c r="J894">
        <v>10040</v>
      </c>
      <c r="K894" t="s">
        <v>3522</v>
      </c>
      <c r="L894" t="s">
        <v>3525</v>
      </c>
      <c r="M894" t="s">
        <v>3916</v>
      </c>
      <c r="O894" t="s">
        <v>4136</v>
      </c>
      <c r="Q894" t="s">
        <v>4147</v>
      </c>
      <c r="R894" t="s">
        <v>3523</v>
      </c>
      <c r="T894" t="s">
        <v>4156</v>
      </c>
      <c r="V894" t="s">
        <v>213</v>
      </c>
      <c r="W894">
        <v>2187</v>
      </c>
      <c r="X894" t="s">
        <v>4196</v>
      </c>
      <c r="Y894" t="s">
        <v>4203</v>
      </c>
      <c r="Z894" t="s">
        <v>4994</v>
      </c>
      <c r="AB894" t="s">
        <v>6337</v>
      </c>
      <c r="AC894">
        <v>92</v>
      </c>
      <c r="AD894" t="s">
        <v>6772</v>
      </c>
      <c r="AF894">
        <v>-1</v>
      </c>
      <c r="AG894">
        <v>1</v>
      </c>
      <c r="AH894">
        <v>0</v>
      </c>
      <c r="AI894">
        <v>132.77</v>
      </c>
      <c r="AL894" t="s">
        <v>6801</v>
      </c>
      <c r="AM894">
        <v>16583</v>
      </c>
    </row>
    <row r="895" spans="1:42">
      <c r="A895" s="1">
        <f>HYPERLINK("https://lsnyc.legalserver.org/matter/dynamic-profile/view/1908419","19-1908419")</f>
        <v>0</v>
      </c>
      <c r="B895" t="s">
        <v>69</v>
      </c>
      <c r="C895" t="s">
        <v>303</v>
      </c>
      <c r="E895" t="s">
        <v>934</v>
      </c>
      <c r="F895" t="s">
        <v>1795</v>
      </c>
      <c r="G895" t="s">
        <v>2774</v>
      </c>
      <c r="H895" t="s">
        <v>3368</v>
      </c>
      <c r="I895" t="s">
        <v>3490</v>
      </c>
      <c r="J895">
        <v>11219</v>
      </c>
      <c r="K895" t="s">
        <v>3522</v>
      </c>
      <c r="L895" t="s">
        <v>3525</v>
      </c>
      <c r="M895" t="s">
        <v>3917</v>
      </c>
      <c r="N895" t="s">
        <v>4107</v>
      </c>
      <c r="O895" t="s">
        <v>4134</v>
      </c>
      <c r="Q895" t="s">
        <v>4147</v>
      </c>
      <c r="R895" t="s">
        <v>3523</v>
      </c>
      <c r="T895" t="s">
        <v>4156</v>
      </c>
      <c r="U895" t="s">
        <v>4168</v>
      </c>
      <c r="V895" t="s">
        <v>238</v>
      </c>
      <c r="W895">
        <v>1000</v>
      </c>
      <c r="X895" t="s">
        <v>4193</v>
      </c>
      <c r="Y895" t="s">
        <v>4203</v>
      </c>
      <c r="Z895" t="s">
        <v>4938</v>
      </c>
      <c r="AA895" t="s">
        <v>3526</v>
      </c>
      <c r="AB895" t="s">
        <v>6284</v>
      </c>
      <c r="AC895">
        <v>35</v>
      </c>
      <c r="AD895" t="s">
        <v>6772</v>
      </c>
      <c r="AE895" t="s">
        <v>3526</v>
      </c>
      <c r="AF895">
        <v>12</v>
      </c>
      <c r="AG895">
        <v>4</v>
      </c>
      <c r="AH895">
        <v>0</v>
      </c>
      <c r="AI895">
        <v>132.82</v>
      </c>
      <c r="AL895" t="s">
        <v>6802</v>
      </c>
      <c r="AM895">
        <v>34200</v>
      </c>
    </row>
    <row r="896" spans="1:42">
      <c r="A896" s="1">
        <f>HYPERLINK("https://lsnyc.legalserver.org/matter/dynamic-profile/view/1907818","19-1907818")</f>
        <v>0</v>
      </c>
      <c r="B896" t="s">
        <v>47</v>
      </c>
      <c r="C896" t="s">
        <v>298</v>
      </c>
      <c r="E896" t="s">
        <v>971</v>
      </c>
      <c r="F896" t="s">
        <v>1428</v>
      </c>
      <c r="G896" t="s">
        <v>2614</v>
      </c>
      <c r="H896" t="s">
        <v>3300</v>
      </c>
      <c r="I896" t="s">
        <v>3486</v>
      </c>
      <c r="J896">
        <v>11377</v>
      </c>
      <c r="K896" t="s">
        <v>3522</v>
      </c>
      <c r="L896" t="s">
        <v>3525</v>
      </c>
      <c r="M896" t="s">
        <v>3792</v>
      </c>
      <c r="N896" t="s">
        <v>4110</v>
      </c>
      <c r="O896" t="s">
        <v>4137</v>
      </c>
      <c r="Q896" t="s">
        <v>4147</v>
      </c>
      <c r="R896" t="s">
        <v>3522</v>
      </c>
      <c r="T896" t="s">
        <v>4156</v>
      </c>
      <c r="U896" t="s">
        <v>4168</v>
      </c>
      <c r="V896" t="s">
        <v>298</v>
      </c>
      <c r="W896">
        <v>0</v>
      </c>
      <c r="X896" t="s">
        <v>4192</v>
      </c>
      <c r="Y896" t="s">
        <v>4206</v>
      </c>
      <c r="Z896" t="s">
        <v>4995</v>
      </c>
      <c r="AB896" t="s">
        <v>6338</v>
      </c>
      <c r="AC896">
        <v>67</v>
      </c>
      <c r="AD896" t="s">
        <v>6772</v>
      </c>
      <c r="AE896" t="s">
        <v>3526</v>
      </c>
      <c r="AF896">
        <v>8</v>
      </c>
      <c r="AG896">
        <v>1</v>
      </c>
      <c r="AH896">
        <v>0</v>
      </c>
      <c r="AI896">
        <v>133.23</v>
      </c>
      <c r="AL896" t="s">
        <v>6802</v>
      </c>
      <c r="AM896">
        <v>16640</v>
      </c>
      <c r="AP896" t="s">
        <v>4200</v>
      </c>
    </row>
    <row r="897" spans="1:44">
      <c r="A897" s="1">
        <f>HYPERLINK("https://lsnyc.legalserver.org/matter/dynamic-profile/view/1907829","19-1907829")</f>
        <v>0</v>
      </c>
      <c r="B897" t="s">
        <v>47</v>
      </c>
      <c r="C897" t="s">
        <v>298</v>
      </c>
      <c r="E897" t="s">
        <v>971</v>
      </c>
      <c r="F897" t="s">
        <v>1428</v>
      </c>
      <c r="G897" t="s">
        <v>2614</v>
      </c>
      <c r="H897" t="s">
        <v>3300</v>
      </c>
      <c r="I897" t="s">
        <v>3486</v>
      </c>
      <c r="J897">
        <v>11377</v>
      </c>
      <c r="K897" t="s">
        <v>3522</v>
      </c>
      <c r="L897" t="s">
        <v>3525</v>
      </c>
      <c r="M897" t="s">
        <v>3793</v>
      </c>
      <c r="N897" t="s">
        <v>4110</v>
      </c>
      <c r="O897" t="s">
        <v>4137</v>
      </c>
      <c r="Q897" t="s">
        <v>4147</v>
      </c>
      <c r="R897" t="s">
        <v>3522</v>
      </c>
      <c r="T897" t="s">
        <v>4156</v>
      </c>
      <c r="V897" t="s">
        <v>4183</v>
      </c>
      <c r="W897">
        <v>0</v>
      </c>
      <c r="X897" t="s">
        <v>4192</v>
      </c>
      <c r="Y897" t="s">
        <v>4206</v>
      </c>
      <c r="Z897" t="s">
        <v>4995</v>
      </c>
      <c r="AB897" t="s">
        <v>6338</v>
      </c>
      <c r="AC897">
        <v>67</v>
      </c>
      <c r="AD897" t="s">
        <v>6772</v>
      </c>
      <c r="AE897" t="s">
        <v>3526</v>
      </c>
      <c r="AF897">
        <v>8</v>
      </c>
      <c r="AG897">
        <v>1</v>
      </c>
      <c r="AH897">
        <v>0</v>
      </c>
      <c r="AI897">
        <v>133.23</v>
      </c>
      <c r="AL897" t="s">
        <v>6802</v>
      </c>
      <c r="AM897">
        <v>16640</v>
      </c>
    </row>
    <row r="898" spans="1:44">
      <c r="A898" s="1">
        <f>HYPERLINK("https://lsnyc.legalserver.org/matter/dynamic-profile/view/1888023","19-1888023")</f>
        <v>0</v>
      </c>
      <c r="B898" t="s">
        <v>124</v>
      </c>
      <c r="C898" t="s">
        <v>353</v>
      </c>
      <c r="D898" t="s">
        <v>237</v>
      </c>
      <c r="E898" t="s">
        <v>972</v>
      </c>
      <c r="F898" t="s">
        <v>1832</v>
      </c>
      <c r="G898" t="s">
        <v>2815</v>
      </c>
      <c r="H898">
        <v>606</v>
      </c>
      <c r="I898" t="s">
        <v>3493</v>
      </c>
      <c r="J898">
        <v>10457</v>
      </c>
      <c r="K898" t="s">
        <v>3523</v>
      </c>
      <c r="L898" t="s">
        <v>3526</v>
      </c>
      <c r="N898" t="s">
        <v>4113</v>
      </c>
      <c r="O898" t="s">
        <v>4132</v>
      </c>
      <c r="P898" t="s">
        <v>4139</v>
      </c>
      <c r="Q898" t="s">
        <v>4147</v>
      </c>
      <c r="T898" t="s">
        <v>4156</v>
      </c>
      <c r="V898" t="s">
        <v>237</v>
      </c>
      <c r="W898">
        <v>833</v>
      </c>
      <c r="X898" t="s">
        <v>4194</v>
      </c>
      <c r="Z898" t="s">
        <v>4996</v>
      </c>
      <c r="AB898" t="s">
        <v>6339</v>
      </c>
      <c r="AC898">
        <v>88</v>
      </c>
      <c r="AF898">
        <v>7</v>
      </c>
      <c r="AG898">
        <v>1</v>
      </c>
      <c r="AH898">
        <v>0</v>
      </c>
      <c r="AI898">
        <v>133.87</v>
      </c>
      <c r="AL898" t="s">
        <v>6801</v>
      </c>
      <c r="AM898">
        <v>16720</v>
      </c>
      <c r="AN898" t="s">
        <v>6862</v>
      </c>
    </row>
    <row r="899" spans="1:44">
      <c r="A899" s="1">
        <f>HYPERLINK("https://lsnyc.legalserver.org/matter/dynamic-profile/view/1903996","19-1903996")</f>
        <v>0</v>
      </c>
      <c r="B899" t="s">
        <v>86</v>
      </c>
      <c r="C899" t="s">
        <v>274</v>
      </c>
      <c r="D899" t="s">
        <v>327</v>
      </c>
      <c r="E899" t="s">
        <v>973</v>
      </c>
      <c r="F899" t="s">
        <v>1833</v>
      </c>
      <c r="G899" t="s">
        <v>2816</v>
      </c>
      <c r="H899" t="s">
        <v>3177</v>
      </c>
      <c r="I899" t="s">
        <v>3495</v>
      </c>
      <c r="J899">
        <v>10033</v>
      </c>
      <c r="K899" t="s">
        <v>3522</v>
      </c>
      <c r="L899" t="s">
        <v>3525</v>
      </c>
      <c r="N899" t="s">
        <v>4119</v>
      </c>
      <c r="O899" t="s">
        <v>4135</v>
      </c>
      <c r="P899" t="s">
        <v>4146</v>
      </c>
      <c r="Q899" t="s">
        <v>4147</v>
      </c>
      <c r="R899" t="s">
        <v>3523</v>
      </c>
      <c r="T899" t="s">
        <v>4156</v>
      </c>
      <c r="U899" t="s">
        <v>4168</v>
      </c>
      <c r="V899" t="s">
        <v>336</v>
      </c>
      <c r="W899">
        <v>2500</v>
      </c>
      <c r="X899" t="s">
        <v>4196</v>
      </c>
      <c r="Y899" t="s">
        <v>4205</v>
      </c>
      <c r="Z899" t="s">
        <v>4997</v>
      </c>
      <c r="AB899" t="s">
        <v>6340</v>
      </c>
      <c r="AC899">
        <v>95</v>
      </c>
      <c r="AD899" t="s">
        <v>6771</v>
      </c>
      <c r="AE899" t="s">
        <v>3526</v>
      </c>
      <c r="AF899">
        <v>7</v>
      </c>
      <c r="AG899">
        <v>2</v>
      </c>
      <c r="AH899">
        <v>1</v>
      </c>
      <c r="AI899">
        <v>133.9</v>
      </c>
      <c r="AL899" t="s">
        <v>6801</v>
      </c>
      <c r="AM899">
        <v>28560</v>
      </c>
    </row>
    <row r="900" spans="1:44">
      <c r="A900" s="1">
        <f>HYPERLINK("https://lsnyc.legalserver.org/matter/dynamic-profile/view/1904455","19-1904455")</f>
        <v>0</v>
      </c>
      <c r="B900" t="s">
        <v>45</v>
      </c>
      <c r="C900" t="s">
        <v>293</v>
      </c>
      <c r="E900" t="s">
        <v>974</v>
      </c>
      <c r="F900" t="s">
        <v>1834</v>
      </c>
      <c r="G900" t="s">
        <v>2817</v>
      </c>
      <c r="H900" t="s">
        <v>3252</v>
      </c>
      <c r="I900" t="s">
        <v>3498</v>
      </c>
      <c r="J900">
        <v>11415</v>
      </c>
      <c r="K900" t="s">
        <v>3522</v>
      </c>
      <c r="L900" t="s">
        <v>3525</v>
      </c>
      <c r="M900" t="s">
        <v>3918</v>
      </c>
      <c r="N900" t="s">
        <v>4109</v>
      </c>
      <c r="O900" t="s">
        <v>4134</v>
      </c>
      <c r="Q900" t="s">
        <v>4147</v>
      </c>
      <c r="R900" t="s">
        <v>3523</v>
      </c>
      <c r="T900" t="s">
        <v>4156</v>
      </c>
      <c r="U900" t="s">
        <v>4169</v>
      </c>
      <c r="V900" t="s">
        <v>293</v>
      </c>
      <c r="W900">
        <v>1650</v>
      </c>
      <c r="X900" t="s">
        <v>4192</v>
      </c>
      <c r="Y900" t="s">
        <v>4203</v>
      </c>
      <c r="Z900" t="s">
        <v>4998</v>
      </c>
      <c r="AB900" t="s">
        <v>6341</v>
      </c>
      <c r="AC900">
        <v>70</v>
      </c>
      <c r="AD900" t="s">
        <v>6772</v>
      </c>
      <c r="AE900" t="s">
        <v>3526</v>
      </c>
      <c r="AF900">
        <v>1</v>
      </c>
      <c r="AG900">
        <v>1</v>
      </c>
      <c r="AH900">
        <v>0</v>
      </c>
      <c r="AI900">
        <v>134.03</v>
      </c>
      <c r="AL900" t="s">
        <v>6801</v>
      </c>
      <c r="AM900">
        <v>16740</v>
      </c>
      <c r="AP900" t="s">
        <v>4200</v>
      </c>
    </row>
    <row r="901" spans="1:44">
      <c r="A901" s="1">
        <f>HYPERLINK("https://lsnyc.legalserver.org/matter/dynamic-profile/view/1890310","19-1890310")</f>
        <v>0</v>
      </c>
      <c r="B901" t="s">
        <v>105</v>
      </c>
      <c r="C901" t="s">
        <v>354</v>
      </c>
      <c r="D901" t="s">
        <v>312</v>
      </c>
      <c r="E901" t="s">
        <v>975</v>
      </c>
      <c r="F901" t="s">
        <v>1835</v>
      </c>
      <c r="G901" t="s">
        <v>2549</v>
      </c>
      <c r="H901" t="s">
        <v>3320</v>
      </c>
      <c r="I901" t="s">
        <v>3494</v>
      </c>
      <c r="J901">
        <v>10304</v>
      </c>
      <c r="K901" t="s">
        <v>3522</v>
      </c>
      <c r="L901" t="s">
        <v>3525</v>
      </c>
      <c r="N901" t="s">
        <v>4112</v>
      </c>
      <c r="O901" t="s">
        <v>4135</v>
      </c>
      <c r="P901" t="s">
        <v>4142</v>
      </c>
      <c r="Q901" t="s">
        <v>4147</v>
      </c>
      <c r="R901" t="s">
        <v>3523</v>
      </c>
      <c r="T901" t="s">
        <v>4156</v>
      </c>
      <c r="U901" t="s">
        <v>4168</v>
      </c>
      <c r="V901" t="s">
        <v>312</v>
      </c>
      <c r="W901">
        <v>250</v>
      </c>
      <c r="X901" t="s">
        <v>4195</v>
      </c>
      <c r="Y901" t="s">
        <v>4203</v>
      </c>
      <c r="Z901" t="s">
        <v>4999</v>
      </c>
      <c r="AB901" t="s">
        <v>6342</v>
      </c>
      <c r="AC901">
        <v>403</v>
      </c>
      <c r="AD901" t="s">
        <v>6778</v>
      </c>
      <c r="AE901" t="s">
        <v>3526</v>
      </c>
      <c r="AF901">
        <v>10</v>
      </c>
      <c r="AG901">
        <v>2</v>
      </c>
      <c r="AH901">
        <v>0</v>
      </c>
      <c r="AI901">
        <v>134.07</v>
      </c>
      <c r="AL901" t="s">
        <v>6801</v>
      </c>
      <c r="AM901">
        <v>22672</v>
      </c>
      <c r="AP901" t="s">
        <v>4200</v>
      </c>
    </row>
    <row r="902" spans="1:44">
      <c r="A902" s="1">
        <f>HYPERLINK("https://lsnyc.legalserver.org/matter/dynamic-profile/view/1909521","19-1909521")</f>
        <v>0</v>
      </c>
      <c r="B902" t="s">
        <v>93</v>
      </c>
      <c r="C902" t="s">
        <v>184</v>
      </c>
      <c r="D902" t="s">
        <v>227</v>
      </c>
      <c r="E902" t="s">
        <v>976</v>
      </c>
      <c r="F902" t="s">
        <v>1836</v>
      </c>
      <c r="G902" t="s">
        <v>2818</v>
      </c>
      <c r="H902">
        <v>41</v>
      </c>
      <c r="I902" t="s">
        <v>3495</v>
      </c>
      <c r="J902">
        <v>10033</v>
      </c>
      <c r="K902" t="s">
        <v>3522</v>
      </c>
      <c r="L902" t="s">
        <v>3525</v>
      </c>
      <c r="N902" t="s">
        <v>4113</v>
      </c>
      <c r="O902" t="s">
        <v>4132</v>
      </c>
      <c r="P902" t="s">
        <v>4139</v>
      </c>
      <c r="Q902" t="s">
        <v>4147</v>
      </c>
      <c r="R902" t="s">
        <v>3523</v>
      </c>
      <c r="T902" t="s">
        <v>4156</v>
      </c>
      <c r="V902" t="s">
        <v>184</v>
      </c>
      <c r="W902">
        <v>796.84</v>
      </c>
      <c r="X902" t="s">
        <v>4196</v>
      </c>
      <c r="Y902" t="s">
        <v>4201</v>
      </c>
      <c r="Z902" t="s">
        <v>5000</v>
      </c>
      <c r="AB902" t="s">
        <v>6343</v>
      </c>
      <c r="AC902">
        <v>25</v>
      </c>
      <c r="AD902" t="s">
        <v>6772</v>
      </c>
      <c r="AE902" t="s">
        <v>3526</v>
      </c>
      <c r="AF902">
        <v>38</v>
      </c>
      <c r="AG902">
        <v>1</v>
      </c>
      <c r="AH902">
        <v>0</v>
      </c>
      <c r="AI902">
        <v>134.32</v>
      </c>
      <c r="AL902" t="s">
        <v>6801</v>
      </c>
      <c r="AM902">
        <v>16776</v>
      </c>
    </row>
    <row r="903" spans="1:44">
      <c r="A903" s="1">
        <f>HYPERLINK("https://lsnyc.legalserver.org/matter/dynamic-profile/view/1916950","19-1916950")</f>
        <v>0</v>
      </c>
      <c r="B903" t="s">
        <v>143</v>
      </c>
      <c r="C903" t="s">
        <v>242</v>
      </c>
      <c r="E903" t="s">
        <v>524</v>
      </c>
      <c r="F903" t="s">
        <v>1268</v>
      </c>
      <c r="G903" t="s">
        <v>2819</v>
      </c>
      <c r="H903" t="s">
        <v>3318</v>
      </c>
      <c r="I903" t="s">
        <v>3494</v>
      </c>
      <c r="J903">
        <v>10301</v>
      </c>
      <c r="K903" t="s">
        <v>3522</v>
      </c>
      <c r="L903" t="s">
        <v>3525</v>
      </c>
      <c r="M903" t="s">
        <v>3553</v>
      </c>
      <c r="N903" t="s">
        <v>3554</v>
      </c>
      <c r="O903" t="s">
        <v>4132</v>
      </c>
      <c r="Q903" t="s">
        <v>4148</v>
      </c>
      <c r="R903" t="s">
        <v>3523</v>
      </c>
      <c r="T903" t="s">
        <v>4159</v>
      </c>
      <c r="V903" t="s">
        <v>242</v>
      </c>
      <c r="W903">
        <v>0</v>
      </c>
      <c r="X903" t="s">
        <v>4195</v>
      </c>
      <c r="Y903" t="s">
        <v>4199</v>
      </c>
      <c r="Z903" t="s">
        <v>5001</v>
      </c>
      <c r="AB903" t="s">
        <v>6344</v>
      </c>
      <c r="AC903">
        <v>0</v>
      </c>
      <c r="AD903" t="s">
        <v>6777</v>
      </c>
      <c r="AE903" t="s">
        <v>3526</v>
      </c>
      <c r="AF903">
        <v>2</v>
      </c>
      <c r="AG903">
        <v>1</v>
      </c>
      <c r="AH903">
        <v>2</v>
      </c>
      <c r="AI903">
        <v>134.5</v>
      </c>
      <c r="AJ903" t="s">
        <v>6795</v>
      </c>
      <c r="AK903" t="s">
        <v>6798</v>
      </c>
      <c r="AL903" t="s">
        <v>6801</v>
      </c>
      <c r="AM903">
        <v>28688</v>
      </c>
    </row>
    <row r="904" spans="1:44">
      <c r="A904" s="1">
        <f>HYPERLINK("https://lsnyc.legalserver.org/matter/dynamic-profile/view/1901745","19-1901745")</f>
        <v>0</v>
      </c>
      <c r="B904" t="s">
        <v>69</v>
      </c>
      <c r="C904" t="s">
        <v>307</v>
      </c>
      <c r="D904" t="s">
        <v>204</v>
      </c>
      <c r="E904" t="s">
        <v>977</v>
      </c>
      <c r="F904" t="s">
        <v>1837</v>
      </c>
      <c r="G904" t="s">
        <v>2820</v>
      </c>
      <c r="H904" t="s">
        <v>3131</v>
      </c>
      <c r="I904" t="s">
        <v>3490</v>
      </c>
      <c r="J904">
        <v>11233</v>
      </c>
      <c r="K904" t="s">
        <v>3522</v>
      </c>
      <c r="L904" t="s">
        <v>3525</v>
      </c>
      <c r="M904" t="s">
        <v>3919</v>
      </c>
      <c r="N904" t="s">
        <v>4109</v>
      </c>
      <c r="O904" t="s">
        <v>4134</v>
      </c>
      <c r="P904" t="s">
        <v>4141</v>
      </c>
      <c r="Q904" t="s">
        <v>4147</v>
      </c>
      <c r="R904" t="s">
        <v>3523</v>
      </c>
      <c r="T904" t="s">
        <v>4156</v>
      </c>
      <c r="U904" t="s">
        <v>4168</v>
      </c>
      <c r="V904" t="s">
        <v>241</v>
      </c>
      <c r="W904">
        <v>1032</v>
      </c>
      <c r="X904" t="s">
        <v>4193</v>
      </c>
      <c r="Y904" t="s">
        <v>4200</v>
      </c>
      <c r="Z904" t="s">
        <v>5002</v>
      </c>
      <c r="AA904" t="s">
        <v>3562</v>
      </c>
      <c r="AB904" t="s">
        <v>6345</v>
      </c>
      <c r="AC904">
        <v>6</v>
      </c>
      <c r="AD904" t="s">
        <v>6772</v>
      </c>
      <c r="AE904" t="s">
        <v>3526</v>
      </c>
      <c r="AF904">
        <v>3</v>
      </c>
      <c r="AG904">
        <v>1</v>
      </c>
      <c r="AH904">
        <v>0</v>
      </c>
      <c r="AI904">
        <v>134.51</v>
      </c>
      <c r="AL904" t="s">
        <v>6801</v>
      </c>
      <c r="AM904">
        <v>16800</v>
      </c>
    </row>
    <row r="905" spans="1:44">
      <c r="A905" s="1">
        <f>HYPERLINK("https://lsnyc.legalserver.org/matter/dynamic-profile/view/1905528","19-1905528")</f>
        <v>0</v>
      </c>
      <c r="B905" t="s">
        <v>90</v>
      </c>
      <c r="C905" t="s">
        <v>312</v>
      </c>
      <c r="D905" t="s">
        <v>236</v>
      </c>
      <c r="E905" t="s">
        <v>521</v>
      </c>
      <c r="F905" t="s">
        <v>1379</v>
      </c>
      <c r="G905" t="s">
        <v>2821</v>
      </c>
      <c r="H905" t="s">
        <v>3216</v>
      </c>
      <c r="I905" t="s">
        <v>3493</v>
      </c>
      <c r="J905">
        <v>10463</v>
      </c>
      <c r="K905" t="s">
        <v>3522</v>
      </c>
      <c r="L905" t="s">
        <v>3527</v>
      </c>
      <c r="N905" t="s">
        <v>4113</v>
      </c>
      <c r="O905" t="s">
        <v>4132</v>
      </c>
      <c r="P905" t="s">
        <v>4139</v>
      </c>
      <c r="Q905" t="s">
        <v>4147</v>
      </c>
      <c r="R905" t="s">
        <v>3523</v>
      </c>
      <c r="T905" t="s">
        <v>4156</v>
      </c>
      <c r="V905" t="s">
        <v>312</v>
      </c>
      <c r="W905">
        <v>1300</v>
      </c>
      <c r="X905" t="s">
        <v>4196</v>
      </c>
      <c r="Y905" t="s">
        <v>4205</v>
      </c>
      <c r="Z905" t="s">
        <v>5003</v>
      </c>
      <c r="AA905" t="s">
        <v>5625</v>
      </c>
      <c r="AB905" t="s">
        <v>6346</v>
      </c>
      <c r="AC905">
        <v>100</v>
      </c>
      <c r="AD905" t="s">
        <v>6772</v>
      </c>
      <c r="AE905" t="s">
        <v>3526</v>
      </c>
      <c r="AF905">
        <v>8</v>
      </c>
      <c r="AG905">
        <v>1</v>
      </c>
      <c r="AH905">
        <v>0</v>
      </c>
      <c r="AI905">
        <v>134.51</v>
      </c>
      <c r="AL905" t="s">
        <v>6802</v>
      </c>
      <c r="AM905">
        <v>16800</v>
      </c>
    </row>
    <row r="906" spans="1:44">
      <c r="A906" s="1">
        <f>HYPERLINK("https://lsnyc.legalserver.org/matter/dynamic-profile/view/1903670","19-1903670")</f>
        <v>0</v>
      </c>
      <c r="B906" t="s">
        <v>120</v>
      </c>
      <c r="C906" t="s">
        <v>286</v>
      </c>
      <c r="D906" t="s">
        <v>267</v>
      </c>
      <c r="E906" t="s">
        <v>431</v>
      </c>
      <c r="F906" t="s">
        <v>1838</v>
      </c>
      <c r="G906" t="s">
        <v>2390</v>
      </c>
      <c r="H906" t="s">
        <v>3379</v>
      </c>
      <c r="I906" t="s">
        <v>3494</v>
      </c>
      <c r="J906">
        <v>10314</v>
      </c>
      <c r="K906" t="s">
        <v>3522</v>
      </c>
      <c r="L906" t="s">
        <v>3525</v>
      </c>
      <c r="M906" t="s">
        <v>3661</v>
      </c>
      <c r="N906" t="s">
        <v>4110</v>
      </c>
      <c r="O906" t="s">
        <v>4137</v>
      </c>
      <c r="P906" t="s">
        <v>4145</v>
      </c>
      <c r="Q906" t="s">
        <v>4147</v>
      </c>
      <c r="R906" t="s">
        <v>3522</v>
      </c>
      <c r="T906" t="s">
        <v>4156</v>
      </c>
      <c r="U906" t="s">
        <v>4168</v>
      </c>
      <c r="V906" t="s">
        <v>336</v>
      </c>
      <c r="W906">
        <v>1400</v>
      </c>
      <c r="X906" t="s">
        <v>4195</v>
      </c>
      <c r="Y906" t="s">
        <v>4201</v>
      </c>
      <c r="Z906" t="s">
        <v>5004</v>
      </c>
      <c r="AB906" t="s">
        <v>6347</v>
      </c>
      <c r="AC906">
        <v>96</v>
      </c>
      <c r="AD906" t="s">
        <v>6772</v>
      </c>
      <c r="AE906" t="s">
        <v>6791</v>
      </c>
      <c r="AF906">
        <v>9</v>
      </c>
      <c r="AG906">
        <v>1</v>
      </c>
      <c r="AH906">
        <v>0</v>
      </c>
      <c r="AI906">
        <v>134.51</v>
      </c>
      <c r="AL906" t="s">
        <v>6801</v>
      </c>
      <c r="AM906">
        <v>16800</v>
      </c>
      <c r="AO906" t="s">
        <v>6920</v>
      </c>
      <c r="AP906" t="s">
        <v>6929</v>
      </c>
      <c r="AQ906" t="s">
        <v>6945</v>
      </c>
      <c r="AR906" t="s">
        <v>6967</v>
      </c>
    </row>
    <row r="907" spans="1:44">
      <c r="A907" s="1">
        <f>HYPERLINK("https://lsnyc.legalserver.org/matter/dynamic-profile/view/1914713","19-1914713")</f>
        <v>0</v>
      </c>
      <c r="B907" t="s">
        <v>55</v>
      </c>
      <c r="C907" t="s">
        <v>267</v>
      </c>
      <c r="E907" t="s">
        <v>656</v>
      </c>
      <c r="F907" t="s">
        <v>1839</v>
      </c>
      <c r="G907" t="s">
        <v>2214</v>
      </c>
      <c r="H907" t="s">
        <v>3219</v>
      </c>
      <c r="I907" t="s">
        <v>3490</v>
      </c>
      <c r="J907">
        <v>11212</v>
      </c>
      <c r="K907" t="s">
        <v>3522</v>
      </c>
      <c r="L907" t="s">
        <v>3525</v>
      </c>
      <c r="M907" t="s">
        <v>3920</v>
      </c>
      <c r="N907" t="s">
        <v>4109</v>
      </c>
      <c r="Q907" t="s">
        <v>4147</v>
      </c>
      <c r="R907" t="s">
        <v>3523</v>
      </c>
      <c r="T907" t="s">
        <v>4156</v>
      </c>
      <c r="U907" t="s">
        <v>4168</v>
      </c>
      <c r="V907" t="s">
        <v>297</v>
      </c>
      <c r="W907">
        <v>706</v>
      </c>
      <c r="X907" t="s">
        <v>4193</v>
      </c>
      <c r="Y907" t="s">
        <v>4206</v>
      </c>
      <c r="Z907" t="s">
        <v>5005</v>
      </c>
      <c r="AA907" t="s">
        <v>3526</v>
      </c>
      <c r="AB907" t="s">
        <v>6348</v>
      </c>
      <c r="AC907">
        <v>21</v>
      </c>
      <c r="AD907" t="s">
        <v>6772</v>
      </c>
      <c r="AE907" t="s">
        <v>6786</v>
      </c>
      <c r="AF907">
        <v>10</v>
      </c>
      <c r="AG907">
        <v>3</v>
      </c>
      <c r="AH907">
        <v>0</v>
      </c>
      <c r="AI907">
        <v>135.02</v>
      </c>
      <c r="AL907" t="s">
        <v>6801</v>
      </c>
      <c r="AM907">
        <v>28800</v>
      </c>
    </row>
    <row r="908" spans="1:44">
      <c r="A908" s="1">
        <f>HYPERLINK("https://lsnyc.legalserver.org/matter/dynamic-profile/view/1910113","19-1910113")</f>
        <v>0</v>
      </c>
      <c r="B908" t="s">
        <v>86</v>
      </c>
      <c r="C908" t="s">
        <v>230</v>
      </c>
      <c r="D908" t="s">
        <v>243</v>
      </c>
      <c r="E908" t="s">
        <v>572</v>
      </c>
      <c r="F908" t="s">
        <v>1840</v>
      </c>
      <c r="G908" t="s">
        <v>2349</v>
      </c>
      <c r="I908" t="s">
        <v>3495</v>
      </c>
      <c r="J908">
        <v>10033</v>
      </c>
      <c r="K908" t="s">
        <v>3522</v>
      </c>
      <c r="L908" t="s">
        <v>3525</v>
      </c>
      <c r="N908" t="s">
        <v>4108</v>
      </c>
      <c r="O908" t="s">
        <v>4135</v>
      </c>
      <c r="P908" t="s">
        <v>4142</v>
      </c>
      <c r="Q908" t="s">
        <v>4147</v>
      </c>
      <c r="R908" t="s">
        <v>3522</v>
      </c>
      <c r="T908" t="s">
        <v>4156</v>
      </c>
      <c r="V908" t="s">
        <v>230</v>
      </c>
      <c r="W908">
        <v>650</v>
      </c>
      <c r="X908" t="s">
        <v>4196</v>
      </c>
      <c r="Y908" t="s">
        <v>4205</v>
      </c>
      <c r="Z908" t="s">
        <v>5006</v>
      </c>
      <c r="AB908" t="s">
        <v>6349</v>
      </c>
      <c r="AC908">
        <v>24</v>
      </c>
      <c r="AD908" t="s">
        <v>6772</v>
      </c>
      <c r="AE908" t="s">
        <v>3526</v>
      </c>
      <c r="AF908">
        <v>1</v>
      </c>
      <c r="AG908">
        <v>1</v>
      </c>
      <c r="AH908">
        <v>0</v>
      </c>
      <c r="AI908">
        <v>135.31</v>
      </c>
      <c r="AL908" t="s">
        <v>6801</v>
      </c>
      <c r="AM908">
        <v>16900</v>
      </c>
    </row>
    <row r="909" spans="1:44">
      <c r="A909" s="1">
        <f>HYPERLINK("https://lsnyc.legalserver.org/matter/dynamic-profile/view/1912120","19-1912120")</f>
        <v>0</v>
      </c>
      <c r="B909" t="s">
        <v>53</v>
      </c>
      <c r="C909" t="s">
        <v>333</v>
      </c>
      <c r="E909" t="s">
        <v>940</v>
      </c>
      <c r="F909" t="s">
        <v>1841</v>
      </c>
      <c r="G909" t="s">
        <v>2822</v>
      </c>
      <c r="H909" t="s">
        <v>3320</v>
      </c>
      <c r="I909" t="s">
        <v>3490</v>
      </c>
      <c r="J909">
        <v>11226</v>
      </c>
      <c r="K909" t="s">
        <v>3522</v>
      </c>
      <c r="L909" t="s">
        <v>3525</v>
      </c>
      <c r="N909" t="s">
        <v>4112</v>
      </c>
      <c r="O909" t="s">
        <v>4133</v>
      </c>
      <c r="Q909" t="s">
        <v>4147</v>
      </c>
      <c r="R909" t="s">
        <v>3523</v>
      </c>
      <c r="T909" t="s">
        <v>4156</v>
      </c>
      <c r="V909" t="s">
        <v>333</v>
      </c>
      <c r="W909">
        <v>0</v>
      </c>
      <c r="X909" t="s">
        <v>4193</v>
      </c>
      <c r="Z909" t="s">
        <v>5007</v>
      </c>
      <c r="AC909">
        <v>83</v>
      </c>
      <c r="AD909" t="s">
        <v>6772</v>
      </c>
      <c r="AF909">
        <v>8</v>
      </c>
      <c r="AG909">
        <v>2</v>
      </c>
      <c r="AH909">
        <v>2</v>
      </c>
      <c r="AI909">
        <v>135.92</v>
      </c>
      <c r="AL909" t="s">
        <v>6811</v>
      </c>
      <c r="AM909">
        <v>35000</v>
      </c>
    </row>
    <row r="910" spans="1:44">
      <c r="A910" s="1">
        <f>HYPERLINK("https://lsnyc.legalserver.org/matter/dynamic-profile/view/1909523","19-1909523")</f>
        <v>0</v>
      </c>
      <c r="B910" t="s">
        <v>93</v>
      </c>
      <c r="C910" t="s">
        <v>184</v>
      </c>
      <c r="D910" t="s">
        <v>227</v>
      </c>
      <c r="E910" t="s">
        <v>521</v>
      </c>
      <c r="F910" t="s">
        <v>1379</v>
      </c>
      <c r="G910" t="s">
        <v>2823</v>
      </c>
      <c r="H910" t="s">
        <v>3319</v>
      </c>
      <c r="I910" t="s">
        <v>3495</v>
      </c>
      <c r="J910">
        <v>10033</v>
      </c>
      <c r="K910" t="s">
        <v>3522</v>
      </c>
      <c r="L910" t="s">
        <v>3525</v>
      </c>
      <c r="N910" t="s">
        <v>4113</v>
      </c>
      <c r="O910" t="s">
        <v>4132</v>
      </c>
      <c r="P910" t="s">
        <v>4139</v>
      </c>
      <c r="Q910" t="s">
        <v>4147</v>
      </c>
      <c r="R910" t="s">
        <v>3523</v>
      </c>
      <c r="T910" t="s">
        <v>4156</v>
      </c>
      <c r="V910" t="s">
        <v>184</v>
      </c>
      <c r="W910">
        <v>110.53</v>
      </c>
      <c r="X910" t="s">
        <v>4196</v>
      </c>
      <c r="Y910" t="s">
        <v>4205</v>
      </c>
      <c r="Z910" t="s">
        <v>5008</v>
      </c>
      <c r="AB910" t="s">
        <v>6350</v>
      </c>
      <c r="AC910">
        <v>22</v>
      </c>
      <c r="AD910" t="s">
        <v>5524</v>
      </c>
      <c r="AE910" t="s">
        <v>3526</v>
      </c>
      <c r="AF910">
        <v>23</v>
      </c>
      <c r="AG910">
        <v>3</v>
      </c>
      <c r="AH910">
        <v>1</v>
      </c>
      <c r="AI910">
        <v>135.92</v>
      </c>
      <c r="AL910" t="s">
        <v>6802</v>
      </c>
      <c r="AM910">
        <v>35000</v>
      </c>
    </row>
    <row r="911" spans="1:44">
      <c r="A911" s="1">
        <f>HYPERLINK("https://lsnyc.legalserver.org/matter/dynamic-profile/view/1914987","19-1914987")</f>
        <v>0</v>
      </c>
      <c r="B911" t="s">
        <v>99</v>
      </c>
      <c r="C911" t="s">
        <v>219</v>
      </c>
      <c r="E911" t="s">
        <v>978</v>
      </c>
      <c r="F911" t="s">
        <v>1768</v>
      </c>
      <c r="G911" t="s">
        <v>2824</v>
      </c>
      <c r="H911" t="s">
        <v>3216</v>
      </c>
      <c r="I911" t="s">
        <v>3495</v>
      </c>
      <c r="J911">
        <v>10022</v>
      </c>
      <c r="K911" t="s">
        <v>3522</v>
      </c>
      <c r="L911" t="s">
        <v>3525</v>
      </c>
      <c r="N911" t="s">
        <v>3554</v>
      </c>
      <c r="O911" t="s">
        <v>4136</v>
      </c>
      <c r="Q911" t="s">
        <v>4147</v>
      </c>
      <c r="R911" t="s">
        <v>3523</v>
      </c>
      <c r="T911" t="s">
        <v>4156</v>
      </c>
      <c r="U911" t="s">
        <v>4168</v>
      </c>
      <c r="V911" t="s">
        <v>219</v>
      </c>
      <c r="W911">
        <v>878.24</v>
      </c>
      <c r="X911" t="s">
        <v>4196</v>
      </c>
      <c r="Y911" t="s">
        <v>4200</v>
      </c>
      <c r="Z911" t="s">
        <v>5009</v>
      </c>
      <c r="AB911" t="s">
        <v>6351</v>
      </c>
      <c r="AC911">
        <v>7</v>
      </c>
      <c r="AD911" t="s">
        <v>6772</v>
      </c>
      <c r="AE911" t="s">
        <v>3526</v>
      </c>
      <c r="AF911">
        <v>18</v>
      </c>
      <c r="AG911">
        <v>2</v>
      </c>
      <c r="AH911">
        <v>0</v>
      </c>
      <c r="AI911">
        <v>136.01</v>
      </c>
      <c r="AL911" t="s">
        <v>6801</v>
      </c>
      <c r="AM911">
        <v>23000</v>
      </c>
    </row>
    <row r="912" spans="1:44">
      <c r="A912" s="1">
        <f>HYPERLINK("https://lsnyc.legalserver.org/matter/dynamic-profile/view/1913069","19-1913069")</f>
        <v>0</v>
      </c>
      <c r="B912" t="s">
        <v>99</v>
      </c>
      <c r="C912" t="s">
        <v>314</v>
      </c>
      <c r="E912" t="s">
        <v>402</v>
      </c>
      <c r="F912" t="s">
        <v>1562</v>
      </c>
      <c r="G912" t="s">
        <v>2373</v>
      </c>
      <c r="H912">
        <v>814</v>
      </c>
      <c r="I912" t="s">
        <v>3495</v>
      </c>
      <c r="J912">
        <v>10029</v>
      </c>
      <c r="K912" t="s">
        <v>3522</v>
      </c>
      <c r="L912" t="s">
        <v>3525</v>
      </c>
      <c r="M912" t="s">
        <v>3921</v>
      </c>
      <c r="N912" t="s">
        <v>4109</v>
      </c>
      <c r="O912" t="s">
        <v>4134</v>
      </c>
      <c r="Q912" t="s">
        <v>4147</v>
      </c>
      <c r="R912" t="s">
        <v>3523</v>
      </c>
      <c r="T912" t="s">
        <v>4156</v>
      </c>
      <c r="U912" t="s">
        <v>4168</v>
      </c>
      <c r="V912" t="s">
        <v>314</v>
      </c>
      <c r="W912">
        <v>0</v>
      </c>
      <c r="X912" t="s">
        <v>4196</v>
      </c>
      <c r="Y912" t="s">
        <v>4201</v>
      </c>
      <c r="Z912" t="s">
        <v>5010</v>
      </c>
      <c r="AC912">
        <v>108</v>
      </c>
      <c r="AD912" t="s">
        <v>6778</v>
      </c>
      <c r="AE912" t="s">
        <v>6786</v>
      </c>
      <c r="AF912">
        <v>34</v>
      </c>
      <c r="AG912">
        <v>1</v>
      </c>
      <c r="AH912">
        <v>2</v>
      </c>
      <c r="AI912">
        <v>136.52</v>
      </c>
      <c r="AL912" t="s">
        <v>6801</v>
      </c>
      <c r="AM912">
        <v>29120</v>
      </c>
    </row>
    <row r="913" spans="1:42">
      <c r="A913" s="1">
        <f>HYPERLINK("https://lsnyc.legalserver.org/matter/dynamic-profile/view/1909517","19-1909517")</f>
        <v>0</v>
      </c>
      <c r="B913" t="s">
        <v>93</v>
      </c>
      <c r="C913" t="s">
        <v>184</v>
      </c>
      <c r="D913" t="s">
        <v>227</v>
      </c>
      <c r="E913" t="s">
        <v>979</v>
      </c>
      <c r="F913" t="s">
        <v>1516</v>
      </c>
      <c r="G913" t="s">
        <v>2825</v>
      </c>
      <c r="H913">
        <v>23</v>
      </c>
      <c r="I913" t="s">
        <v>3495</v>
      </c>
      <c r="J913">
        <v>10033</v>
      </c>
      <c r="K913" t="s">
        <v>3522</v>
      </c>
      <c r="L913" t="s">
        <v>3525</v>
      </c>
      <c r="N913" t="s">
        <v>4113</v>
      </c>
      <c r="O913" t="s">
        <v>4132</v>
      </c>
      <c r="P913" t="s">
        <v>4139</v>
      </c>
      <c r="Q913" t="s">
        <v>4147</v>
      </c>
      <c r="R913" t="s">
        <v>3523</v>
      </c>
      <c r="T913" t="s">
        <v>4156</v>
      </c>
      <c r="V913" t="s">
        <v>184</v>
      </c>
      <c r="W913">
        <v>1322.53</v>
      </c>
      <c r="X913" t="s">
        <v>4196</v>
      </c>
      <c r="Y913" t="s">
        <v>4205</v>
      </c>
      <c r="Z913" t="s">
        <v>5011</v>
      </c>
      <c r="AB913" t="s">
        <v>6352</v>
      </c>
      <c r="AC913">
        <v>48</v>
      </c>
      <c r="AD913" t="s">
        <v>6772</v>
      </c>
      <c r="AE913" t="s">
        <v>6786</v>
      </c>
      <c r="AF913">
        <v>9</v>
      </c>
      <c r="AG913">
        <v>2</v>
      </c>
      <c r="AH913">
        <v>0</v>
      </c>
      <c r="AI913">
        <v>136.68</v>
      </c>
      <c r="AL913" t="s">
        <v>6802</v>
      </c>
      <c r="AM913">
        <v>23112</v>
      </c>
    </row>
    <row r="914" spans="1:42">
      <c r="A914" s="1">
        <f>HYPERLINK("https://lsnyc.legalserver.org/matter/dynamic-profile/view/1904832","19-1904832")</f>
        <v>0</v>
      </c>
      <c r="B914" t="s">
        <v>78</v>
      </c>
      <c r="C914" t="s">
        <v>296</v>
      </c>
      <c r="E914" t="s">
        <v>734</v>
      </c>
      <c r="F914" t="s">
        <v>1295</v>
      </c>
      <c r="G914" t="s">
        <v>2826</v>
      </c>
      <c r="H914" t="s">
        <v>3230</v>
      </c>
      <c r="I914" t="s">
        <v>3493</v>
      </c>
      <c r="J914">
        <v>10452</v>
      </c>
      <c r="K914" t="s">
        <v>3522</v>
      </c>
      <c r="L914" t="s">
        <v>3527</v>
      </c>
      <c r="M914" t="s">
        <v>3922</v>
      </c>
      <c r="N914" t="s">
        <v>4109</v>
      </c>
      <c r="O914" t="s">
        <v>4134</v>
      </c>
      <c r="Q914" t="s">
        <v>4147</v>
      </c>
      <c r="R914" t="s">
        <v>3523</v>
      </c>
      <c r="T914" t="s">
        <v>4156</v>
      </c>
      <c r="U914" t="s">
        <v>4169</v>
      </c>
      <c r="V914" t="s">
        <v>4175</v>
      </c>
      <c r="W914">
        <v>952</v>
      </c>
      <c r="X914" t="s">
        <v>4194</v>
      </c>
      <c r="Y914" t="s">
        <v>4201</v>
      </c>
      <c r="Z914" t="s">
        <v>5012</v>
      </c>
      <c r="AA914" t="s">
        <v>5626</v>
      </c>
      <c r="AB914" t="s">
        <v>6353</v>
      </c>
      <c r="AC914">
        <v>15000</v>
      </c>
      <c r="AD914" t="s">
        <v>6772</v>
      </c>
      <c r="AE914" t="s">
        <v>6790</v>
      </c>
      <c r="AF914">
        <v>31</v>
      </c>
      <c r="AG914">
        <v>1</v>
      </c>
      <c r="AH914">
        <v>0</v>
      </c>
      <c r="AI914">
        <v>137.29</v>
      </c>
      <c r="AL914" t="s">
        <v>6801</v>
      </c>
      <c r="AM914">
        <v>17148</v>
      </c>
    </row>
    <row r="915" spans="1:42">
      <c r="A915" s="1">
        <f>HYPERLINK("https://lsnyc.legalserver.org/matter/dynamic-profile/view/1910692","19-1910692")</f>
        <v>0</v>
      </c>
      <c r="B915" t="s">
        <v>49</v>
      </c>
      <c r="C915" t="s">
        <v>257</v>
      </c>
      <c r="E915" t="s">
        <v>628</v>
      </c>
      <c r="F915" t="s">
        <v>1842</v>
      </c>
      <c r="G915" t="s">
        <v>2827</v>
      </c>
      <c r="H915" t="s">
        <v>3161</v>
      </c>
      <c r="I915" t="s">
        <v>3488</v>
      </c>
      <c r="J915">
        <v>11354</v>
      </c>
      <c r="K915" t="s">
        <v>3522</v>
      </c>
      <c r="L915" t="s">
        <v>3525</v>
      </c>
      <c r="M915" t="s">
        <v>3923</v>
      </c>
      <c r="N915" t="s">
        <v>4107</v>
      </c>
      <c r="O915" t="s">
        <v>4134</v>
      </c>
      <c r="Q915" t="s">
        <v>4147</v>
      </c>
      <c r="R915" t="s">
        <v>3523</v>
      </c>
      <c r="T915" t="s">
        <v>4156</v>
      </c>
      <c r="U915" t="s">
        <v>4168</v>
      </c>
      <c r="V915" t="s">
        <v>4185</v>
      </c>
      <c r="W915">
        <v>923</v>
      </c>
      <c r="X915" t="s">
        <v>4192</v>
      </c>
      <c r="Y915" t="s">
        <v>4197</v>
      </c>
      <c r="Z915" t="s">
        <v>5013</v>
      </c>
      <c r="AB915" t="s">
        <v>6354</v>
      </c>
      <c r="AC915">
        <v>72</v>
      </c>
      <c r="AD915" t="s">
        <v>5524</v>
      </c>
      <c r="AE915" t="s">
        <v>3526</v>
      </c>
      <c r="AF915">
        <v>42</v>
      </c>
      <c r="AG915">
        <v>1</v>
      </c>
      <c r="AH915">
        <v>0</v>
      </c>
      <c r="AI915">
        <v>137.39</v>
      </c>
      <c r="AL915" t="s">
        <v>6801</v>
      </c>
      <c r="AM915">
        <v>17160</v>
      </c>
      <c r="AP915" t="s">
        <v>4200</v>
      </c>
    </row>
    <row r="916" spans="1:42">
      <c r="A916" s="1">
        <f>HYPERLINK("https://lsnyc.legalserver.org/matter/dynamic-profile/view/1915295","19-1915295")</f>
        <v>0</v>
      </c>
      <c r="B916" t="s">
        <v>49</v>
      </c>
      <c r="C916" t="s">
        <v>204</v>
      </c>
      <c r="E916" t="s">
        <v>628</v>
      </c>
      <c r="F916" t="s">
        <v>1842</v>
      </c>
      <c r="G916" t="s">
        <v>2827</v>
      </c>
      <c r="H916" t="s">
        <v>3161</v>
      </c>
      <c r="I916" t="s">
        <v>3488</v>
      </c>
      <c r="J916">
        <v>11354</v>
      </c>
      <c r="K916" t="s">
        <v>3522</v>
      </c>
      <c r="L916" t="s">
        <v>3525</v>
      </c>
      <c r="N916" t="s">
        <v>4108</v>
      </c>
      <c r="O916" t="s">
        <v>4134</v>
      </c>
      <c r="Q916" t="s">
        <v>4147</v>
      </c>
      <c r="R916" t="s">
        <v>3523</v>
      </c>
      <c r="T916" t="s">
        <v>4156</v>
      </c>
      <c r="V916" t="s">
        <v>204</v>
      </c>
      <c r="W916">
        <v>923</v>
      </c>
      <c r="X916" t="s">
        <v>4192</v>
      </c>
      <c r="Y916" t="s">
        <v>4201</v>
      </c>
      <c r="Z916" t="s">
        <v>5013</v>
      </c>
      <c r="AB916" t="s">
        <v>6354</v>
      </c>
      <c r="AC916">
        <v>72</v>
      </c>
      <c r="AD916" t="s">
        <v>5524</v>
      </c>
      <c r="AE916" t="s">
        <v>3526</v>
      </c>
      <c r="AF916">
        <v>42</v>
      </c>
      <c r="AG916">
        <v>1</v>
      </c>
      <c r="AH916">
        <v>0</v>
      </c>
      <c r="AI916">
        <v>137.39</v>
      </c>
      <c r="AL916" t="s">
        <v>6801</v>
      </c>
      <c r="AM916">
        <v>17160</v>
      </c>
    </row>
    <row r="917" spans="1:42">
      <c r="A917" s="1">
        <f>HYPERLINK("https://lsnyc.legalserver.org/matter/dynamic-profile/view/1912519","19-1912519")</f>
        <v>0</v>
      </c>
      <c r="B917" t="s">
        <v>70</v>
      </c>
      <c r="C917" t="s">
        <v>295</v>
      </c>
      <c r="E917" t="s">
        <v>980</v>
      </c>
      <c r="F917" t="s">
        <v>1540</v>
      </c>
      <c r="G917" t="s">
        <v>2770</v>
      </c>
      <c r="H917" t="s">
        <v>3220</v>
      </c>
      <c r="I917" t="s">
        <v>3490</v>
      </c>
      <c r="J917">
        <v>11213</v>
      </c>
      <c r="K917" t="s">
        <v>3522</v>
      </c>
      <c r="L917" t="s">
        <v>3525</v>
      </c>
      <c r="M917" t="s">
        <v>3590</v>
      </c>
      <c r="N917" t="s">
        <v>4119</v>
      </c>
      <c r="O917" t="s">
        <v>4138</v>
      </c>
      <c r="Q917" t="s">
        <v>4147</v>
      </c>
      <c r="R917" t="s">
        <v>3522</v>
      </c>
      <c r="T917" t="s">
        <v>4160</v>
      </c>
      <c r="U917" t="s">
        <v>4168</v>
      </c>
      <c r="V917" t="s">
        <v>333</v>
      </c>
      <c r="W917">
        <v>643.12</v>
      </c>
      <c r="X917" t="s">
        <v>4193</v>
      </c>
      <c r="Y917" t="s">
        <v>4201</v>
      </c>
      <c r="Z917" t="s">
        <v>4504</v>
      </c>
      <c r="AA917" t="s">
        <v>3526</v>
      </c>
      <c r="AB917" t="s">
        <v>6355</v>
      </c>
      <c r="AC917">
        <v>19</v>
      </c>
      <c r="AD917" t="s">
        <v>6772</v>
      </c>
      <c r="AE917" t="s">
        <v>3526</v>
      </c>
      <c r="AF917">
        <v>8</v>
      </c>
      <c r="AG917">
        <v>1</v>
      </c>
      <c r="AH917">
        <v>1</v>
      </c>
      <c r="AI917">
        <v>137.5</v>
      </c>
      <c r="AL917" t="s">
        <v>6801</v>
      </c>
      <c r="AM917">
        <v>23252</v>
      </c>
    </row>
    <row r="918" spans="1:42">
      <c r="A918" s="1">
        <f>HYPERLINK("https://lsnyc.legalserver.org/matter/dynamic-profile/view/1907796","19-1907796")</f>
        <v>0</v>
      </c>
      <c r="B918" t="s">
        <v>97</v>
      </c>
      <c r="C918" t="s">
        <v>222</v>
      </c>
      <c r="E918" t="s">
        <v>392</v>
      </c>
      <c r="F918" t="s">
        <v>1280</v>
      </c>
      <c r="G918" t="s">
        <v>2264</v>
      </c>
      <c r="H918" t="s">
        <v>3125</v>
      </c>
      <c r="I918" t="s">
        <v>3490</v>
      </c>
      <c r="J918">
        <v>11212</v>
      </c>
      <c r="K918" t="s">
        <v>3522</v>
      </c>
      <c r="L918" t="s">
        <v>3525</v>
      </c>
      <c r="M918" t="s">
        <v>3526</v>
      </c>
      <c r="N918" t="s">
        <v>4112</v>
      </c>
      <c r="O918" t="s">
        <v>4135</v>
      </c>
      <c r="Q918" t="s">
        <v>4147</v>
      </c>
      <c r="R918" t="s">
        <v>3522</v>
      </c>
      <c r="T918" t="s">
        <v>4156</v>
      </c>
      <c r="U918" t="s">
        <v>4168</v>
      </c>
      <c r="V918" t="s">
        <v>241</v>
      </c>
      <c r="W918">
        <v>430.8</v>
      </c>
      <c r="X918" t="s">
        <v>4193</v>
      </c>
      <c r="Y918" t="s">
        <v>4206</v>
      </c>
      <c r="Z918" t="s">
        <v>5014</v>
      </c>
      <c r="AA918" t="s">
        <v>5627</v>
      </c>
      <c r="AB918" t="s">
        <v>6356</v>
      </c>
      <c r="AC918">
        <v>96</v>
      </c>
      <c r="AD918" t="s">
        <v>6772</v>
      </c>
      <c r="AE918" t="s">
        <v>4200</v>
      </c>
      <c r="AF918">
        <v>4</v>
      </c>
      <c r="AG918">
        <v>1</v>
      </c>
      <c r="AH918">
        <v>0</v>
      </c>
      <c r="AI918">
        <v>137.97</v>
      </c>
      <c r="AL918" t="s">
        <v>6801</v>
      </c>
      <c r="AM918">
        <v>17232</v>
      </c>
    </row>
    <row r="919" spans="1:42">
      <c r="A919" s="1">
        <f>HYPERLINK("https://lsnyc.legalserver.org/matter/dynamic-profile/view/1904623","19-1904623")</f>
        <v>0</v>
      </c>
      <c r="B919" t="s">
        <v>154</v>
      </c>
      <c r="C919" t="s">
        <v>246</v>
      </c>
      <c r="D919" t="s">
        <v>275</v>
      </c>
      <c r="E919" t="s">
        <v>891</v>
      </c>
      <c r="F919" t="s">
        <v>1843</v>
      </c>
      <c r="G919" t="s">
        <v>2828</v>
      </c>
      <c r="H919">
        <v>5</v>
      </c>
      <c r="I919" t="s">
        <v>3495</v>
      </c>
      <c r="J919">
        <v>10009</v>
      </c>
      <c r="K919" t="s">
        <v>3522</v>
      </c>
      <c r="L919" t="s">
        <v>3527</v>
      </c>
      <c r="M919" t="s">
        <v>3924</v>
      </c>
      <c r="N919" t="s">
        <v>4109</v>
      </c>
      <c r="O919" t="s">
        <v>4132</v>
      </c>
      <c r="P919" t="s">
        <v>4139</v>
      </c>
      <c r="Q919" t="s">
        <v>4147</v>
      </c>
      <c r="R919" t="s">
        <v>3523</v>
      </c>
      <c r="T919" t="s">
        <v>4156</v>
      </c>
      <c r="U919" t="s">
        <v>4168</v>
      </c>
      <c r="V919" t="s">
        <v>246</v>
      </c>
      <c r="W919">
        <v>3125</v>
      </c>
      <c r="X919" t="s">
        <v>4196</v>
      </c>
      <c r="Y919" t="s">
        <v>4197</v>
      </c>
      <c r="Z919" t="s">
        <v>5015</v>
      </c>
      <c r="AA919" t="s">
        <v>5628</v>
      </c>
      <c r="AB919" t="s">
        <v>6357</v>
      </c>
      <c r="AC919">
        <v>4</v>
      </c>
      <c r="AD919" t="s">
        <v>6771</v>
      </c>
      <c r="AE919" t="s">
        <v>3526</v>
      </c>
      <c r="AF919">
        <v>27</v>
      </c>
      <c r="AG919">
        <v>1</v>
      </c>
      <c r="AH919">
        <v>0</v>
      </c>
      <c r="AI919">
        <v>138.11</v>
      </c>
      <c r="AL919" t="s">
        <v>6801</v>
      </c>
      <c r="AM919">
        <v>17250</v>
      </c>
    </row>
    <row r="920" spans="1:42">
      <c r="A920" s="1">
        <f>HYPERLINK("https://lsnyc.legalserver.org/matter/dynamic-profile/view/1911215","19-1911215")</f>
        <v>0</v>
      </c>
      <c r="B920" t="s">
        <v>124</v>
      </c>
      <c r="C920" t="s">
        <v>212</v>
      </c>
      <c r="D920" t="s">
        <v>324</v>
      </c>
      <c r="E920" t="s">
        <v>393</v>
      </c>
      <c r="F920" t="s">
        <v>1844</v>
      </c>
      <c r="G920" t="s">
        <v>2829</v>
      </c>
      <c r="H920" t="s">
        <v>3335</v>
      </c>
      <c r="I920" t="s">
        <v>3493</v>
      </c>
      <c r="J920">
        <v>10456</v>
      </c>
      <c r="K920" t="s">
        <v>3522</v>
      </c>
      <c r="L920" t="s">
        <v>3525</v>
      </c>
      <c r="M920" t="s">
        <v>3925</v>
      </c>
      <c r="N920" t="s">
        <v>4109</v>
      </c>
      <c r="O920" t="s">
        <v>4135</v>
      </c>
      <c r="P920" t="s">
        <v>4142</v>
      </c>
      <c r="Q920" t="s">
        <v>4147</v>
      </c>
      <c r="R920" t="s">
        <v>3523</v>
      </c>
      <c r="T920" t="s">
        <v>4156</v>
      </c>
      <c r="V920" t="s">
        <v>212</v>
      </c>
      <c r="W920">
        <v>0</v>
      </c>
      <c r="X920" t="s">
        <v>4194</v>
      </c>
      <c r="Y920" t="s">
        <v>4202</v>
      </c>
      <c r="Z920" t="s">
        <v>5016</v>
      </c>
      <c r="AB920" t="s">
        <v>6358</v>
      </c>
      <c r="AC920">
        <v>35</v>
      </c>
      <c r="AE920" t="s">
        <v>3526</v>
      </c>
      <c r="AF920">
        <v>11</v>
      </c>
      <c r="AG920">
        <v>1</v>
      </c>
      <c r="AH920">
        <v>1</v>
      </c>
      <c r="AI920">
        <v>138.38</v>
      </c>
      <c r="AL920" t="s">
        <v>6801</v>
      </c>
      <c r="AM920">
        <v>23400</v>
      </c>
    </row>
    <row r="921" spans="1:42">
      <c r="A921" s="1">
        <f>HYPERLINK("https://lsnyc.legalserver.org/matter/dynamic-profile/view/1904522","19-1904522")</f>
        <v>0</v>
      </c>
      <c r="B921" t="s">
        <v>47</v>
      </c>
      <c r="C921" t="s">
        <v>261</v>
      </c>
      <c r="E921" t="s">
        <v>981</v>
      </c>
      <c r="F921" t="s">
        <v>1845</v>
      </c>
      <c r="G921" t="s">
        <v>2830</v>
      </c>
      <c r="H921" t="s">
        <v>3212</v>
      </c>
      <c r="I921" t="s">
        <v>3492</v>
      </c>
      <c r="J921">
        <v>11104</v>
      </c>
      <c r="K921" t="s">
        <v>3522</v>
      </c>
      <c r="L921" t="s">
        <v>3525</v>
      </c>
      <c r="M921" t="s">
        <v>3926</v>
      </c>
      <c r="N921" t="s">
        <v>4107</v>
      </c>
      <c r="O921" t="s">
        <v>4134</v>
      </c>
      <c r="Q921" t="s">
        <v>4147</v>
      </c>
      <c r="R921" t="s">
        <v>3523</v>
      </c>
      <c r="T921" t="s">
        <v>4156</v>
      </c>
      <c r="U921" t="s">
        <v>4168</v>
      </c>
      <c r="V921" t="s">
        <v>261</v>
      </c>
      <c r="W921">
        <v>1241</v>
      </c>
      <c r="X921" t="s">
        <v>4192</v>
      </c>
      <c r="Y921" t="s">
        <v>4197</v>
      </c>
      <c r="Z921" t="s">
        <v>5017</v>
      </c>
      <c r="AA921" t="s">
        <v>5482</v>
      </c>
      <c r="AB921" t="s">
        <v>6359</v>
      </c>
      <c r="AC921">
        <v>60</v>
      </c>
      <c r="AD921" t="s">
        <v>5524</v>
      </c>
      <c r="AE921" t="s">
        <v>3526</v>
      </c>
      <c r="AF921">
        <v>20</v>
      </c>
      <c r="AG921">
        <v>2</v>
      </c>
      <c r="AH921">
        <v>0</v>
      </c>
      <c r="AI921">
        <v>138.65</v>
      </c>
      <c r="AL921" t="s">
        <v>6803</v>
      </c>
      <c r="AM921">
        <v>23446.28</v>
      </c>
      <c r="AP921" t="s">
        <v>6926</v>
      </c>
    </row>
    <row r="922" spans="1:42">
      <c r="A922" s="1">
        <f>HYPERLINK("https://lsnyc.legalserver.org/matter/dynamic-profile/view/1904923","19-1904923")</f>
        <v>0</v>
      </c>
      <c r="B922" t="s">
        <v>122</v>
      </c>
      <c r="C922" t="s">
        <v>272</v>
      </c>
      <c r="E922" t="s">
        <v>982</v>
      </c>
      <c r="F922" t="s">
        <v>1846</v>
      </c>
      <c r="G922" t="s">
        <v>2831</v>
      </c>
      <c r="H922" t="s">
        <v>3127</v>
      </c>
      <c r="I922" t="s">
        <v>3506</v>
      </c>
      <c r="J922">
        <v>11422</v>
      </c>
      <c r="K922" t="s">
        <v>3522</v>
      </c>
      <c r="L922" t="s">
        <v>3525</v>
      </c>
      <c r="M922" t="s">
        <v>3927</v>
      </c>
      <c r="N922" t="s">
        <v>4107</v>
      </c>
      <c r="O922" t="s">
        <v>4132</v>
      </c>
      <c r="Q922" t="s">
        <v>4147</v>
      </c>
      <c r="R922" t="s">
        <v>3523</v>
      </c>
      <c r="T922" t="s">
        <v>4156</v>
      </c>
      <c r="U922" t="s">
        <v>4168</v>
      </c>
      <c r="V922" t="s">
        <v>272</v>
      </c>
      <c r="W922">
        <v>1800</v>
      </c>
      <c r="X922" t="s">
        <v>4192</v>
      </c>
      <c r="Y922" t="s">
        <v>4197</v>
      </c>
      <c r="Z922" t="s">
        <v>5018</v>
      </c>
      <c r="AB922" t="s">
        <v>6360</v>
      </c>
      <c r="AC922">
        <v>2</v>
      </c>
      <c r="AD922" t="s">
        <v>5524</v>
      </c>
      <c r="AE922" t="s">
        <v>3526</v>
      </c>
      <c r="AF922">
        <v>7</v>
      </c>
      <c r="AG922">
        <v>2</v>
      </c>
      <c r="AH922">
        <v>3</v>
      </c>
      <c r="AI922">
        <v>139.21</v>
      </c>
      <c r="AL922" t="s">
        <v>6801</v>
      </c>
      <c r="AM922">
        <v>42000</v>
      </c>
    </row>
    <row r="923" spans="1:42">
      <c r="A923" s="1">
        <f>HYPERLINK("https://lsnyc.legalserver.org/matter/dynamic-profile/view/1914718","19-1914718")</f>
        <v>0</v>
      </c>
      <c r="B923" t="s">
        <v>89</v>
      </c>
      <c r="C923" t="s">
        <v>267</v>
      </c>
      <c r="E923" t="s">
        <v>983</v>
      </c>
      <c r="F923" t="s">
        <v>1847</v>
      </c>
      <c r="G923" t="s">
        <v>2832</v>
      </c>
      <c r="H923" t="s">
        <v>3380</v>
      </c>
      <c r="I923" t="s">
        <v>3495</v>
      </c>
      <c r="J923">
        <v>10034</v>
      </c>
      <c r="K923" t="s">
        <v>3522</v>
      </c>
      <c r="L923" t="s">
        <v>3525</v>
      </c>
      <c r="N923" t="s">
        <v>3554</v>
      </c>
      <c r="O923" t="s">
        <v>4136</v>
      </c>
      <c r="Q923" t="s">
        <v>4147</v>
      </c>
      <c r="R923" t="s">
        <v>3523</v>
      </c>
      <c r="T923" t="s">
        <v>4156</v>
      </c>
      <c r="V923" t="s">
        <v>267</v>
      </c>
      <c r="W923">
        <v>1275.99</v>
      </c>
      <c r="X923" t="s">
        <v>4196</v>
      </c>
      <c r="Y923" t="s">
        <v>4205</v>
      </c>
      <c r="Z923" t="s">
        <v>5019</v>
      </c>
      <c r="AB923" t="s">
        <v>6361</v>
      </c>
      <c r="AC923">
        <v>73</v>
      </c>
      <c r="AD923" t="s">
        <v>6772</v>
      </c>
      <c r="AE923" t="s">
        <v>3526</v>
      </c>
      <c r="AF923">
        <v>39</v>
      </c>
      <c r="AG923">
        <v>1</v>
      </c>
      <c r="AH923">
        <v>0</v>
      </c>
      <c r="AI923">
        <v>139.31</v>
      </c>
      <c r="AL923" t="s">
        <v>6802</v>
      </c>
      <c r="AM923">
        <v>17400</v>
      </c>
    </row>
    <row r="924" spans="1:42">
      <c r="A924" s="1">
        <f>HYPERLINK("https://lsnyc.legalserver.org/matter/dynamic-profile/view/1911975","19-1911975")</f>
        <v>0</v>
      </c>
      <c r="B924" t="s">
        <v>99</v>
      </c>
      <c r="C924" t="s">
        <v>251</v>
      </c>
      <c r="E924" t="s">
        <v>923</v>
      </c>
      <c r="F924" t="s">
        <v>1848</v>
      </c>
      <c r="G924" t="s">
        <v>2373</v>
      </c>
      <c r="H924">
        <v>614</v>
      </c>
      <c r="I924" t="s">
        <v>3495</v>
      </c>
      <c r="J924">
        <v>10029</v>
      </c>
      <c r="K924" t="s">
        <v>3522</v>
      </c>
      <c r="L924" t="s">
        <v>3525</v>
      </c>
      <c r="N924" t="s">
        <v>4108</v>
      </c>
      <c r="O924" t="s">
        <v>4132</v>
      </c>
      <c r="Q924" t="s">
        <v>4147</v>
      </c>
      <c r="R924" t="s">
        <v>3523</v>
      </c>
      <c r="T924" t="s">
        <v>4156</v>
      </c>
      <c r="U924" t="s">
        <v>4168</v>
      </c>
      <c r="V924" t="s">
        <v>194</v>
      </c>
      <c r="W924">
        <v>345</v>
      </c>
      <c r="X924" t="s">
        <v>4196</v>
      </c>
      <c r="Y924" t="s">
        <v>4200</v>
      </c>
      <c r="Z924" t="s">
        <v>5020</v>
      </c>
      <c r="AB924" t="s">
        <v>6362</v>
      </c>
      <c r="AC924">
        <v>108</v>
      </c>
      <c r="AD924" t="s">
        <v>6780</v>
      </c>
      <c r="AE924" t="s">
        <v>6786</v>
      </c>
      <c r="AF924">
        <v>32</v>
      </c>
      <c r="AG924">
        <v>2</v>
      </c>
      <c r="AH924">
        <v>0</v>
      </c>
      <c r="AI924">
        <v>139.47</v>
      </c>
      <c r="AL924" t="s">
        <v>6802</v>
      </c>
      <c r="AM924">
        <v>23583.84</v>
      </c>
    </row>
    <row r="925" spans="1:42">
      <c r="A925" s="1">
        <f>HYPERLINK("https://lsnyc.legalserver.org/matter/dynamic-profile/view/1914958","19-1914958")</f>
        <v>0</v>
      </c>
      <c r="B925" t="s">
        <v>135</v>
      </c>
      <c r="C925" t="s">
        <v>301</v>
      </c>
      <c r="E925" t="s">
        <v>984</v>
      </c>
      <c r="F925" t="s">
        <v>1849</v>
      </c>
      <c r="G925" t="s">
        <v>2833</v>
      </c>
      <c r="H925">
        <v>447</v>
      </c>
      <c r="I925" t="s">
        <v>3494</v>
      </c>
      <c r="J925">
        <v>10304</v>
      </c>
      <c r="K925" t="s">
        <v>3522</v>
      </c>
      <c r="L925" t="s">
        <v>3527</v>
      </c>
      <c r="M925" t="s">
        <v>3928</v>
      </c>
      <c r="N925" t="s">
        <v>4109</v>
      </c>
      <c r="O925" t="s">
        <v>4134</v>
      </c>
      <c r="Q925" t="s">
        <v>4147</v>
      </c>
      <c r="R925" t="s">
        <v>3523</v>
      </c>
      <c r="T925" t="s">
        <v>4156</v>
      </c>
      <c r="U925" t="s">
        <v>4167</v>
      </c>
      <c r="V925" t="s">
        <v>301</v>
      </c>
      <c r="W925">
        <v>418</v>
      </c>
      <c r="X925" t="s">
        <v>4195</v>
      </c>
      <c r="Z925" t="s">
        <v>5021</v>
      </c>
      <c r="AA925" t="s">
        <v>5629</v>
      </c>
      <c r="AB925" t="s">
        <v>6363</v>
      </c>
      <c r="AC925">
        <v>0</v>
      </c>
      <c r="AD925" t="s">
        <v>6778</v>
      </c>
      <c r="AF925">
        <v>3</v>
      </c>
      <c r="AG925">
        <v>1</v>
      </c>
      <c r="AH925">
        <v>2</v>
      </c>
      <c r="AI925">
        <v>139.69</v>
      </c>
      <c r="AL925" t="s">
        <v>6801</v>
      </c>
      <c r="AM925">
        <v>29796</v>
      </c>
    </row>
    <row r="926" spans="1:42">
      <c r="A926" s="1">
        <f>HYPERLINK("https://lsnyc.legalserver.org/matter/dynamic-profile/view/1904289","19-1904289")</f>
        <v>0</v>
      </c>
      <c r="B926" t="s">
        <v>93</v>
      </c>
      <c r="C926" t="s">
        <v>179</v>
      </c>
      <c r="D926" t="s">
        <v>246</v>
      </c>
      <c r="E926" t="s">
        <v>985</v>
      </c>
      <c r="F926" t="s">
        <v>1850</v>
      </c>
      <c r="G926" t="s">
        <v>2834</v>
      </c>
      <c r="H926" t="s">
        <v>3206</v>
      </c>
      <c r="I926" t="s">
        <v>3495</v>
      </c>
      <c r="J926">
        <v>10040</v>
      </c>
      <c r="K926" t="s">
        <v>3522</v>
      </c>
      <c r="L926" t="s">
        <v>3525</v>
      </c>
      <c r="N926" t="s">
        <v>4113</v>
      </c>
      <c r="O926" t="s">
        <v>4135</v>
      </c>
      <c r="P926" t="s">
        <v>4142</v>
      </c>
      <c r="Q926" t="s">
        <v>4147</v>
      </c>
      <c r="R926" t="s">
        <v>3523</v>
      </c>
      <c r="T926" t="s">
        <v>4156</v>
      </c>
      <c r="V926" t="s">
        <v>179</v>
      </c>
      <c r="W926">
        <v>1400</v>
      </c>
      <c r="X926" t="s">
        <v>4196</v>
      </c>
      <c r="Y926" t="s">
        <v>4205</v>
      </c>
      <c r="Z926" t="s">
        <v>5022</v>
      </c>
      <c r="AB926" t="s">
        <v>6364</v>
      </c>
      <c r="AC926">
        <v>47</v>
      </c>
      <c r="AD926" t="s">
        <v>6772</v>
      </c>
      <c r="AE926" t="s">
        <v>3526</v>
      </c>
      <c r="AF926">
        <v>5</v>
      </c>
      <c r="AG926">
        <v>2</v>
      </c>
      <c r="AH926">
        <v>0</v>
      </c>
      <c r="AI926">
        <v>139.8</v>
      </c>
      <c r="AL926" t="s">
        <v>6801</v>
      </c>
      <c r="AM926">
        <v>23640</v>
      </c>
    </row>
    <row r="927" spans="1:42">
      <c r="A927" s="1">
        <f>HYPERLINK("https://lsnyc.legalserver.org/matter/dynamic-profile/view/1907946","19-1907946")</f>
        <v>0</v>
      </c>
      <c r="B927" t="s">
        <v>44</v>
      </c>
      <c r="C927" t="s">
        <v>193</v>
      </c>
      <c r="E927" t="s">
        <v>986</v>
      </c>
      <c r="F927" t="s">
        <v>1774</v>
      </c>
      <c r="G927" t="s">
        <v>2835</v>
      </c>
      <c r="H927" t="s">
        <v>3381</v>
      </c>
      <c r="I927" t="s">
        <v>3506</v>
      </c>
      <c r="J927">
        <v>11422</v>
      </c>
      <c r="K927" t="s">
        <v>3522</v>
      </c>
      <c r="L927" t="s">
        <v>3525</v>
      </c>
      <c r="M927" t="s">
        <v>3929</v>
      </c>
      <c r="N927" t="s">
        <v>4107</v>
      </c>
      <c r="O927" t="s">
        <v>4134</v>
      </c>
      <c r="Q927" t="s">
        <v>4147</v>
      </c>
      <c r="R927" t="s">
        <v>3523</v>
      </c>
      <c r="T927" t="s">
        <v>4156</v>
      </c>
      <c r="U927" t="s">
        <v>4168</v>
      </c>
      <c r="V927" t="s">
        <v>193</v>
      </c>
      <c r="W927">
        <v>800</v>
      </c>
      <c r="X927" t="s">
        <v>4192</v>
      </c>
      <c r="Y927" t="s">
        <v>4197</v>
      </c>
      <c r="Z927" t="s">
        <v>5023</v>
      </c>
      <c r="AB927" t="s">
        <v>6365</v>
      </c>
      <c r="AC927">
        <v>2</v>
      </c>
      <c r="AD927" t="s">
        <v>6771</v>
      </c>
      <c r="AE927" t="s">
        <v>3526</v>
      </c>
      <c r="AF927">
        <v>-1</v>
      </c>
      <c r="AG927">
        <v>1</v>
      </c>
      <c r="AH927">
        <v>2</v>
      </c>
      <c r="AI927">
        <v>140.65</v>
      </c>
      <c r="AL927" t="s">
        <v>6801</v>
      </c>
      <c r="AM927">
        <v>30000</v>
      </c>
      <c r="AP927" t="s">
        <v>4200</v>
      </c>
    </row>
    <row r="928" spans="1:42">
      <c r="A928" s="1">
        <f>HYPERLINK("https://lsnyc.legalserver.org/matter/dynamic-profile/view/1915053","19-1915053")</f>
        <v>0</v>
      </c>
      <c r="B928" t="s">
        <v>94</v>
      </c>
      <c r="C928" t="s">
        <v>219</v>
      </c>
      <c r="E928" t="s">
        <v>987</v>
      </c>
      <c r="F928" t="s">
        <v>1851</v>
      </c>
      <c r="G928" t="s">
        <v>2480</v>
      </c>
      <c r="H928" t="s">
        <v>3236</v>
      </c>
      <c r="I928" t="s">
        <v>3495</v>
      </c>
      <c r="J928">
        <v>10035</v>
      </c>
      <c r="K928" t="s">
        <v>3522</v>
      </c>
      <c r="L928" t="s">
        <v>3525</v>
      </c>
      <c r="N928" t="s">
        <v>4110</v>
      </c>
      <c r="O928" t="s">
        <v>4134</v>
      </c>
      <c r="Q928" t="s">
        <v>4147</v>
      </c>
      <c r="R928" t="s">
        <v>3522</v>
      </c>
      <c r="T928" t="s">
        <v>4156</v>
      </c>
      <c r="U928" t="s">
        <v>4168</v>
      </c>
      <c r="V928" t="s">
        <v>219</v>
      </c>
      <c r="W928">
        <v>1033.5</v>
      </c>
      <c r="X928" t="s">
        <v>4196</v>
      </c>
      <c r="Y928" t="s">
        <v>4201</v>
      </c>
      <c r="Z928" t="s">
        <v>5024</v>
      </c>
      <c r="AB928" t="s">
        <v>6366</v>
      </c>
      <c r="AC928">
        <v>60</v>
      </c>
      <c r="AD928" t="s">
        <v>6772</v>
      </c>
      <c r="AE928" t="s">
        <v>6786</v>
      </c>
      <c r="AF928">
        <v>15</v>
      </c>
      <c r="AG928">
        <v>3</v>
      </c>
      <c r="AH928">
        <v>0</v>
      </c>
      <c r="AI928">
        <v>140.65</v>
      </c>
      <c r="AL928" t="s">
        <v>6802</v>
      </c>
      <c r="AM928">
        <v>30000</v>
      </c>
    </row>
    <row r="929" spans="1:44">
      <c r="A929" s="1">
        <f>HYPERLINK("https://lsnyc.legalserver.org/matter/dynamic-profile/view/1911992","19-1911992")</f>
        <v>0</v>
      </c>
      <c r="B929" t="s">
        <v>94</v>
      </c>
      <c r="C929" t="s">
        <v>251</v>
      </c>
      <c r="E929" t="s">
        <v>987</v>
      </c>
      <c r="F929" t="s">
        <v>1851</v>
      </c>
      <c r="G929" t="s">
        <v>2480</v>
      </c>
      <c r="H929" t="s">
        <v>3236</v>
      </c>
      <c r="I929" t="s">
        <v>3495</v>
      </c>
      <c r="J929">
        <v>10035</v>
      </c>
      <c r="K929" t="s">
        <v>3522</v>
      </c>
      <c r="L929" t="s">
        <v>3525</v>
      </c>
      <c r="M929" t="s">
        <v>3930</v>
      </c>
      <c r="N929" t="s">
        <v>4108</v>
      </c>
      <c r="O929" t="s">
        <v>4134</v>
      </c>
      <c r="Q929" t="s">
        <v>4147</v>
      </c>
      <c r="R929" t="s">
        <v>3522</v>
      </c>
      <c r="T929" t="s">
        <v>4156</v>
      </c>
      <c r="U929" t="s">
        <v>4168</v>
      </c>
      <c r="V929" t="s">
        <v>251</v>
      </c>
      <c r="W929">
        <v>1033.5</v>
      </c>
      <c r="X929" t="s">
        <v>4196</v>
      </c>
      <c r="Y929" t="s">
        <v>4198</v>
      </c>
      <c r="Z929" t="s">
        <v>5024</v>
      </c>
      <c r="AB929" t="s">
        <v>6366</v>
      </c>
      <c r="AC929">
        <v>60</v>
      </c>
      <c r="AD929" t="s">
        <v>6772</v>
      </c>
      <c r="AE929" t="s">
        <v>6786</v>
      </c>
      <c r="AF929">
        <v>15</v>
      </c>
      <c r="AG929">
        <v>3</v>
      </c>
      <c r="AH929">
        <v>0</v>
      </c>
      <c r="AI929">
        <v>140.65</v>
      </c>
      <c r="AL929" t="s">
        <v>6802</v>
      </c>
      <c r="AM929">
        <v>30000</v>
      </c>
    </row>
    <row r="930" spans="1:44">
      <c r="A930" s="1">
        <f>HYPERLINK("https://lsnyc.legalserver.org/matter/dynamic-profile/view/1914769","19-1914769")</f>
        <v>0</v>
      </c>
      <c r="B930" t="s">
        <v>94</v>
      </c>
      <c r="C930" t="s">
        <v>267</v>
      </c>
      <c r="E930" t="s">
        <v>987</v>
      </c>
      <c r="F930" t="s">
        <v>1851</v>
      </c>
      <c r="G930" t="s">
        <v>2480</v>
      </c>
      <c r="H930" t="s">
        <v>3236</v>
      </c>
      <c r="I930" t="s">
        <v>3495</v>
      </c>
      <c r="J930">
        <v>10035</v>
      </c>
      <c r="K930" t="s">
        <v>3522</v>
      </c>
      <c r="L930" t="s">
        <v>3525</v>
      </c>
      <c r="N930" t="s">
        <v>3554</v>
      </c>
      <c r="O930" t="s">
        <v>4135</v>
      </c>
      <c r="Q930" t="s">
        <v>4147</v>
      </c>
      <c r="R930" t="s">
        <v>3522</v>
      </c>
      <c r="T930" t="s">
        <v>4156</v>
      </c>
      <c r="U930" t="s">
        <v>4168</v>
      </c>
      <c r="V930" t="s">
        <v>267</v>
      </c>
      <c r="W930">
        <v>1033.5</v>
      </c>
      <c r="X930" t="s">
        <v>4196</v>
      </c>
      <c r="Y930" t="s">
        <v>4201</v>
      </c>
      <c r="Z930" t="s">
        <v>5024</v>
      </c>
      <c r="AB930" t="s">
        <v>6366</v>
      </c>
      <c r="AC930">
        <v>60</v>
      </c>
      <c r="AD930" t="s">
        <v>6772</v>
      </c>
      <c r="AE930" t="s">
        <v>6786</v>
      </c>
      <c r="AF930">
        <v>15</v>
      </c>
      <c r="AG930">
        <v>3</v>
      </c>
      <c r="AH930">
        <v>0</v>
      </c>
      <c r="AI930">
        <v>140.65</v>
      </c>
      <c r="AL930" t="s">
        <v>6802</v>
      </c>
      <c r="AM930">
        <v>30000</v>
      </c>
    </row>
    <row r="931" spans="1:44">
      <c r="A931" s="1">
        <f>HYPERLINK("https://lsnyc.legalserver.org/matter/dynamic-profile/view/1905357","19-1905357")</f>
        <v>0</v>
      </c>
      <c r="B931" t="s">
        <v>46</v>
      </c>
      <c r="C931" t="s">
        <v>264</v>
      </c>
      <c r="E931" t="s">
        <v>988</v>
      </c>
      <c r="F931" t="s">
        <v>1852</v>
      </c>
      <c r="G931" t="s">
        <v>2836</v>
      </c>
      <c r="H931" t="s">
        <v>3170</v>
      </c>
      <c r="I931" t="s">
        <v>3516</v>
      </c>
      <c r="J931">
        <v>11372</v>
      </c>
      <c r="K931" t="s">
        <v>3522</v>
      </c>
      <c r="L931" t="s">
        <v>3525</v>
      </c>
      <c r="M931" t="s">
        <v>3931</v>
      </c>
      <c r="N931" t="s">
        <v>4107</v>
      </c>
      <c r="O931" t="s">
        <v>4134</v>
      </c>
      <c r="Q931" t="s">
        <v>4147</v>
      </c>
      <c r="R931" t="s">
        <v>3522</v>
      </c>
      <c r="T931" t="s">
        <v>4156</v>
      </c>
      <c r="U931" t="s">
        <v>4170</v>
      </c>
      <c r="V931" t="s">
        <v>4174</v>
      </c>
      <c r="W931">
        <v>890.4</v>
      </c>
      <c r="X931" t="s">
        <v>4192</v>
      </c>
      <c r="Y931" t="s">
        <v>4197</v>
      </c>
      <c r="Z931" t="s">
        <v>5025</v>
      </c>
      <c r="AA931" t="s">
        <v>5482</v>
      </c>
      <c r="AB931" t="s">
        <v>6367</v>
      </c>
      <c r="AC931">
        <v>6</v>
      </c>
      <c r="AD931" t="s">
        <v>6772</v>
      </c>
      <c r="AE931" t="s">
        <v>6791</v>
      </c>
      <c r="AF931">
        <v>33</v>
      </c>
      <c r="AG931">
        <v>1</v>
      </c>
      <c r="AH931">
        <v>0</v>
      </c>
      <c r="AI931">
        <v>140.91</v>
      </c>
      <c r="AL931" t="s">
        <v>6801</v>
      </c>
      <c r="AM931">
        <v>17600</v>
      </c>
      <c r="AO931" t="s">
        <v>6919</v>
      </c>
      <c r="AP931" t="s">
        <v>6924</v>
      </c>
      <c r="AQ931" t="s">
        <v>6945</v>
      </c>
      <c r="AR931" t="s">
        <v>7005</v>
      </c>
    </row>
    <row r="932" spans="1:44">
      <c r="A932" s="1">
        <f>HYPERLINK("https://lsnyc.legalserver.org/matter/dynamic-profile/view/1912865","19-1912865")</f>
        <v>0</v>
      </c>
      <c r="B932" t="s">
        <v>171</v>
      </c>
      <c r="C932" t="s">
        <v>253</v>
      </c>
      <c r="E932" t="s">
        <v>989</v>
      </c>
      <c r="F932" t="s">
        <v>1853</v>
      </c>
      <c r="G932" t="s">
        <v>2837</v>
      </c>
      <c r="H932" t="s">
        <v>3137</v>
      </c>
      <c r="I932" t="s">
        <v>3490</v>
      </c>
      <c r="J932">
        <v>11237</v>
      </c>
      <c r="K932" t="s">
        <v>3522</v>
      </c>
      <c r="L932" t="s">
        <v>3525</v>
      </c>
      <c r="N932" t="s">
        <v>3554</v>
      </c>
      <c r="O932" t="s">
        <v>4133</v>
      </c>
      <c r="Q932" t="s">
        <v>4147</v>
      </c>
      <c r="R932" t="s">
        <v>3523</v>
      </c>
      <c r="T932" t="s">
        <v>4156</v>
      </c>
      <c r="V932" t="s">
        <v>253</v>
      </c>
      <c r="W932">
        <v>0</v>
      </c>
      <c r="X932" t="s">
        <v>4193</v>
      </c>
      <c r="Z932" t="s">
        <v>5026</v>
      </c>
      <c r="AB932" t="s">
        <v>6368</v>
      </c>
      <c r="AC932">
        <v>0</v>
      </c>
      <c r="AF932">
        <v>7</v>
      </c>
      <c r="AG932">
        <v>5</v>
      </c>
      <c r="AH932">
        <v>2</v>
      </c>
      <c r="AI932">
        <v>140.99</v>
      </c>
      <c r="AL932" t="s">
        <v>6802</v>
      </c>
      <c r="AM932">
        <v>55000</v>
      </c>
    </row>
    <row r="933" spans="1:44">
      <c r="A933" s="1">
        <f>HYPERLINK("https://lsnyc.legalserver.org/matter/dynamic-profile/view/1904795","19-1904795")</f>
        <v>0</v>
      </c>
      <c r="B933" t="s">
        <v>76</v>
      </c>
      <c r="C933" t="s">
        <v>296</v>
      </c>
      <c r="D933" t="s">
        <v>313</v>
      </c>
      <c r="E933" t="s">
        <v>423</v>
      </c>
      <c r="F933" t="s">
        <v>1281</v>
      </c>
      <c r="G933" t="s">
        <v>2838</v>
      </c>
      <c r="H933" t="s">
        <v>3382</v>
      </c>
      <c r="I933" t="s">
        <v>3493</v>
      </c>
      <c r="J933">
        <v>10457</v>
      </c>
      <c r="K933" t="s">
        <v>3522</v>
      </c>
      <c r="L933" t="s">
        <v>3525</v>
      </c>
      <c r="M933" t="s">
        <v>3562</v>
      </c>
      <c r="N933" t="s">
        <v>4112</v>
      </c>
      <c r="O933" t="s">
        <v>4135</v>
      </c>
      <c r="P933" t="s">
        <v>4142</v>
      </c>
      <c r="Q933" t="s">
        <v>4147</v>
      </c>
      <c r="R933" t="s">
        <v>3523</v>
      </c>
      <c r="T933" t="s">
        <v>4156</v>
      </c>
      <c r="V933" t="s">
        <v>324</v>
      </c>
      <c r="W933">
        <v>1476.04</v>
      </c>
      <c r="X933" t="s">
        <v>4194</v>
      </c>
      <c r="Y933" t="s">
        <v>4206</v>
      </c>
      <c r="Z933" t="s">
        <v>5027</v>
      </c>
      <c r="AB933" t="s">
        <v>6369</v>
      </c>
      <c r="AC933">
        <v>222</v>
      </c>
      <c r="AD933" t="s">
        <v>6772</v>
      </c>
      <c r="AE933" t="s">
        <v>3526</v>
      </c>
      <c r="AF933">
        <v>8</v>
      </c>
      <c r="AG933">
        <v>4</v>
      </c>
      <c r="AH933">
        <v>0</v>
      </c>
      <c r="AI933">
        <v>141.36</v>
      </c>
      <c r="AL933" t="s">
        <v>6802</v>
      </c>
      <c r="AM933">
        <v>36400</v>
      </c>
    </row>
    <row r="934" spans="1:44">
      <c r="A934" s="1">
        <f>HYPERLINK("https://lsnyc.legalserver.org/matter/dynamic-profile/view/1907576","19-1907576")</f>
        <v>0</v>
      </c>
      <c r="B934" t="s">
        <v>86</v>
      </c>
      <c r="C934" t="s">
        <v>239</v>
      </c>
      <c r="E934" t="s">
        <v>990</v>
      </c>
      <c r="F934" t="s">
        <v>1646</v>
      </c>
      <c r="G934" t="s">
        <v>2839</v>
      </c>
      <c r="H934" t="s">
        <v>3383</v>
      </c>
      <c r="I934" t="s">
        <v>3495</v>
      </c>
      <c r="J934">
        <v>10034</v>
      </c>
      <c r="K934" t="s">
        <v>3522</v>
      </c>
      <c r="L934" t="s">
        <v>3525</v>
      </c>
      <c r="O934" t="s">
        <v>4135</v>
      </c>
      <c r="Q934" t="s">
        <v>4147</v>
      </c>
      <c r="R934" t="s">
        <v>3523</v>
      </c>
      <c r="T934" t="s">
        <v>4156</v>
      </c>
      <c r="V934" t="s">
        <v>239</v>
      </c>
      <c r="W934">
        <v>0</v>
      </c>
      <c r="X934" t="s">
        <v>4196</v>
      </c>
      <c r="Y934" t="s">
        <v>4205</v>
      </c>
      <c r="Z934" t="s">
        <v>5028</v>
      </c>
      <c r="AB934" t="s">
        <v>6370</v>
      </c>
      <c r="AC934">
        <v>25</v>
      </c>
      <c r="AD934" t="s">
        <v>6772</v>
      </c>
      <c r="AE934" t="s">
        <v>3526</v>
      </c>
      <c r="AF934">
        <v>14</v>
      </c>
      <c r="AG934">
        <v>3</v>
      </c>
      <c r="AH934">
        <v>0</v>
      </c>
      <c r="AI934">
        <v>141.77</v>
      </c>
      <c r="AL934" t="s">
        <v>6802</v>
      </c>
      <c r="AM934">
        <v>30240</v>
      </c>
    </row>
    <row r="935" spans="1:44">
      <c r="A935" s="1">
        <f>HYPERLINK("https://lsnyc.legalserver.org/matter/dynamic-profile/view/1914982","19-1914982")</f>
        <v>0</v>
      </c>
      <c r="B935" t="s">
        <v>88</v>
      </c>
      <c r="C935" t="s">
        <v>219</v>
      </c>
      <c r="E935" t="s">
        <v>991</v>
      </c>
      <c r="F935" t="s">
        <v>1854</v>
      </c>
      <c r="G935" t="s">
        <v>2840</v>
      </c>
      <c r="H935" t="s">
        <v>3149</v>
      </c>
      <c r="I935" t="s">
        <v>3495</v>
      </c>
      <c r="J935">
        <v>10040</v>
      </c>
      <c r="K935" t="s">
        <v>3522</v>
      </c>
      <c r="L935" t="s">
        <v>3525</v>
      </c>
      <c r="N935" t="s">
        <v>4116</v>
      </c>
      <c r="O935" t="s">
        <v>4135</v>
      </c>
      <c r="Q935" t="s">
        <v>4147</v>
      </c>
      <c r="R935" t="s">
        <v>3523</v>
      </c>
      <c r="T935" t="s">
        <v>4156</v>
      </c>
      <c r="V935" t="s">
        <v>219</v>
      </c>
      <c r="W935">
        <v>1353.72</v>
      </c>
      <c r="X935" t="s">
        <v>4196</v>
      </c>
      <c r="Y935" t="s">
        <v>4201</v>
      </c>
      <c r="Z935" t="s">
        <v>5029</v>
      </c>
      <c r="AB935" t="s">
        <v>6371</v>
      </c>
      <c r="AC935">
        <v>45</v>
      </c>
      <c r="AD935" t="s">
        <v>6772</v>
      </c>
      <c r="AE935" t="s">
        <v>6791</v>
      </c>
      <c r="AF935">
        <v>34</v>
      </c>
      <c r="AG935">
        <v>2</v>
      </c>
      <c r="AH935">
        <v>0</v>
      </c>
      <c r="AI935">
        <v>141.93</v>
      </c>
      <c r="AL935" t="s">
        <v>6802</v>
      </c>
      <c r="AM935">
        <v>24000</v>
      </c>
    </row>
    <row r="936" spans="1:44">
      <c r="A936" s="1">
        <f>HYPERLINK("https://lsnyc.legalserver.org/matter/dynamic-profile/view/1908662","19-1908662")</f>
        <v>0</v>
      </c>
      <c r="B936" t="s">
        <v>94</v>
      </c>
      <c r="C936" t="s">
        <v>205</v>
      </c>
      <c r="D936" t="s">
        <v>240</v>
      </c>
      <c r="E936" t="s">
        <v>511</v>
      </c>
      <c r="F936" t="s">
        <v>1749</v>
      </c>
      <c r="G936" t="s">
        <v>2396</v>
      </c>
      <c r="H936" t="s">
        <v>3209</v>
      </c>
      <c r="I936" t="s">
        <v>3495</v>
      </c>
      <c r="J936">
        <v>10035</v>
      </c>
      <c r="K936" t="s">
        <v>3522</v>
      </c>
      <c r="L936" t="s">
        <v>3525</v>
      </c>
      <c r="M936" t="s">
        <v>3932</v>
      </c>
      <c r="N936" t="s">
        <v>4108</v>
      </c>
      <c r="O936" t="s">
        <v>4135</v>
      </c>
      <c r="P936" t="s">
        <v>4142</v>
      </c>
      <c r="Q936" t="s">
        <v>4147</v>
      </c>
      <c r="R936" t="s">
        <v>3522</v>
      </c>
      <c r="T936" t="s">
        <v>4156</v>
      </c>
      <c r="U936" t="s">
        <v>4168</v>
      </c>
      <c r="V936" t="s">
        <v>205</v>
      </c>
      <c r="W936">
        <v>1133.6</v>
      </c>
      <c r="X936" t="s">
        <v>4196</v>
      </c>
      <c r="Y936" t="s">
        <v>4198</v>
      </c>
      <c r="Z936" t="s">
        <v>5030</v>
      </c>
      <c r="AB936" t="s">
        <v>6372</v>
      </c>
      <c r="AC936">
        <v>72</v>
      </c>
      <c r="AD936" t="s">
        <v>6772</v>
      </c>
      <c r="AE936" t="s">
        <v>3526</v>
      </c>
      <c r="AF936">
        <v>9</v>
      </c>
      <c r="AG936">
        <v>2</v>
      </c>
      <c r="AH936">
        <v>0</v>
      </c>
      <c r="AI936">
        <v>141.93</v>
      </c>
      <c r="AL936" t="s">
        <v>6801</v>
      </c>
      <c r="AM936">
        <v>24000</v>
      </c>
    </row>
    <row r="937" spans="1:44">
      <c r="A937" s="1">
        <f>HYPERLINK("https://lsnyc.legalserver.org/matter/dynamic-profile/view/1906974","19-1906974")</f>
        <v>0</v>
      </c>
      <c r="B937" t="s">
        <v>74</v>
      </c>
      <c r="C937" t="s">
        <v>308</v>
      </c>
      <c r="E937" t="s">
        <v>992</v>
      </c>
      <c r="F937" t="s">
        <v>1719</v>
      </c>
      <c r="G937" t="s">
        <v>2841</v>
      </c>
      <c r="H937" t="s">
        <v>3140</v>
      </c>
      <c r="I937" t="s">
        <v>3493</v>
      </c>
      <c r="J937">
        <v>10460</v>
      </c>
      <c r="K937" t="s">
        <v>3522</v>
      </c>
      <c r="L937" t="s">
        <v>3525</v>
      </c>
      <c r="M937" t="s">
        <v>3526</v>
      </c>
      <c r="N937" t="s">
        <v>4109</v>
      </c>
      <c r="O937" t="s">
        <v>4136</v>
      </c>
      <c r="Q937" t="s">
        <v>4147</v>
      </c>
      <c r="R937" t="s">
        <v>3523</v>
      </c>
      <c r="T937" t="s">
        <v>4156</v>
      </c>
      <c r="U937" t="s">
        <v>4170</v>
      </c>
      <c r="V937" t="s">
        <v>234</v>
      </c>
      <c r="W937">
        <v>0</v>
      </c>
      <c r="X937" t="s">
        <v>4194</v>
      </c>
      <c r="Z937" t="s">
        <v>5031</v>
      </c>
      <c r="AC937">
        <v>25</v>
      </c>
      <c r="AD937" t="s">
        <v>6772</v>
      </c>
      <c r="AE937" t="s">
        <v>6787</v>
      </c>
      <c r="AF937">
        <v>4</v>
      </c>
      <c r="AG937">
        <v>1</v>
      </c>
      <c r="AH937">
        <v>0</v>
      </c>
      <c r="AI937">
        <v>142.39</v>
      </c>
      <c r="AL937" t="s">
        <v>6801</v>
      </c>
      <c r="AM937">
        <v>17784</v>
      </c>
    </row>
    <row r="938" spans="1:44">
      <c r="A938" s="1">
        <f>HYPERLINK("https://lsnyc.legalserver.org/matter/dynamic-profile/view/1909025","19-1909025")</f>
        <v>0</v>
      </c>
      <c r="B938" t="s">
        <v>108</v>
      </c>
      <c r="C938" t="s">
        <v>275</v>
      </c>
      <c r="D938" t="s">
        <v>233</v>
      </c>
      <c r="E938" t="s">
        <v>388</v>
      </c>
      <c r="F938" t="s">
        <v>1855</v>
      </c>
      <c r="G938" t="s">
        <v>2842</v>
      </c>
      <c r="H938">
        <v>1611</v>
      </c>
      <c r="I938" t="s">
        <v>3478</v>
      </c>
      <c r="J938">
        <v>11692</v>
      </c>
      <c r="K938" t="s">
        <v>3522</v>
      </c>
      <c r="L938" t="s">
        <v>3525</v>
      </c>
      <c r="N938" t="s">
        <v>4111</v>
      </c>
      <c r="O938" t="s">
        <v>4132</v>
      </c>
      <c r="P938" t="s">
        <v>4139</v>
      </c>
      <c r="Q938" t="s">
        <v>4147</v>
      </c>
      <c r="R938" t="s">
        <v>3523</v>
      </c>
      <c r="T938" t="s">
        <v>4156</v>
      </c>
      <c r="V938" t="s">
        <v>227</v>
      </c>
      <c r="W938">
        <v>1981</v>
      </c>
      <c r="X938" t="s">
        <v>4192</v>
      </c>
      <c r="Y938" t="s">
        <v>4201</v>
      </c>
      <c r="Z938" t="s">
        <v>5032</v>
      </c>
      <c r="AB938" t="s">
        <v>6373</v>
      </c>
      <c r="AC938">
        <v>209</v>
      </c>
      <c r="AE938" t="s">
        <v>6786</v>
      </c>
      <c r="AF938">
        <v>4</v>
      </c>
      <c r="AG938">
        <v>2</v>
      </c>
      <c r="AH938">
        <v>0</v>
      </c>
      <c r="AI938">
        <v>142.42</v>
      </c>
      <c r="AL938" t="s">
        <v>6801</v>
      </c>
      <c r="AM938">
        <v>24084</v>
      </c>
    </row>
    <row r="939" spans="1:44">
      <c r="A939" s="1">
        <f>HYPERLINK("https://lsnyc.legalserver.org/matter/dynamic-profile/view/1905014","19-1905014")</f>
        <v>0</v>
      </c>
      <c r="B939" t="s">
        <v>45</v>
      </c>
      <c r="C939" t="s">
        <v>272</v>
      </c>
      <c r="E939" t="s">
        <v>993</v>
      </c>
      <c r="F939" t="s">
        <v>1856</v>
      </c>
      <c r="G939" t="s">
        <v>2843</v>
      </c>
      <c r="H939" t="s">
        <v>3181</v>
      </c>
      <c r="I939" t="s">
        <v>3517</v>
      </c>
      <c r="J939">
        <v>11418</v>
      </c>
      <c r="K939" t="s">
        <v>3522</v>
      </c>
      <c r="L939" t="s">
        <v>3525</v>
      </c>
      <c r="M939" t="s">
        <v>3933</v>
      </c>
      <c r="N939" t="s">
        <v>4107</v>
      </c>
      <c r="O939" t="s">
        <v>4134</v>
      </c>
      <c r="Q939" t="s">
        <v>4147</v>
      </c>
      <c r="R939" t="s">
        <v>3522</v>
      </c>
      <c r="T939" t="s">
        <v>4156</v>
      </c>
      <c r="U939" t="s">
        <v>4168</v>
      </c>
      <c r="V939" t="s">
        <v>272</v>
      </c>
      <c r="W939">
        <v>850</v>
      </c>
      <c r="X939" t="s">
        <v>4192</v>
      </c>
      <c r="Y939" t="s">
        <v>4197</v>
      </c>
      <c r="Z939" t="s">
        <v>5033</v>
      </c>
      <c r="AA939" t="s">
        <v>5630</v>
      </c>
      <c r="AB939" t="s">
        <v>6374</v>
      </c>
      <c r="AC939">
        <v>3</v>
      </c>
      <c r="AD939" t="s">
        <v>6780</v>
      </c>
      <c r="AE939" t="s">
        <v>4200</v>
      </c>
      <c r="AF939">
        <v>25</v>
      </c>
      <c r="AG939">
        <v>2</v>
      </c>
      <c r="AH939">
        <v>0</v>
      </c>
      <c r="AI939">
        <v>143.06</v>
      </c>
      <c r="AL939" t="s">
        <v>6801</v>
      </c>
      <c r="AM939">
        <v>24192</v>
      </c>
      <c r="AP939" t="s">
        <v>4200</v>
      </c>
    </row>
    <row r="940" spans="1:44">
      <c r="A940" s="1">
        <f>HYPERLINK("https://lsnyc.legalserver.org/matter/dynamic-profile/view/1915356","19-1915356")</f>
        <v>0</v>
      </c>
      <c r="B940" t="s">
        <v>91</v>
      </c>
      <c r="C940" t="s">
        <v>260</v>
      </c>
      <c r="E940" t="s">
        <v>402</v>
      </c>
      <c r="F940" t="s">
        <v>1857</v>
      </c>
      <c r="G940" t="s">
        <v>2844</v>
      </c>
      <c r="H940">
        <v>610</v>
      </c>
      <c r="I940" t="s">
        <v>3495</v>
      </c>
      <c r="J940">
        <v>10029</v>
      </c>
      <c r="K940" t="s">
        <v>3522</v>
      </c>
      <c r="L940" t="s">
        <v>3525</v>
      </c>
      <c r="N940" t="s">
        <v>4108</v>
      </c>
      <c r="O940" t="s">
        <v>4134</v>
      </c>
      <c r="Q940" t="s">
        <v>4147</v>
      </c>
      <c r="R940" t="s">
        <v>3522</v>
      </c>
      <c r="T940" t="s">
        <v>4156</v>
      </c>
      <c r="U940" t="s">
        <v>4168</v>
      </c>
      <c r="V940" t="s">
        <v>260</v>
      </c>
      <c r="W940">
        <v>713</v>
      </c>
      <c r="X940" t="s">
        <v>4196</v>
      </c>
      <c r="Y940" t="s">
        <v>4201</v>
      </c>
      <c r="Z940" t="s">
        <v>5034</v>
      </c>
      <c r="AC940">
        <v>135</v>
      </c>
      <c r="AD940" t="s">
        <v>6780</v>
      </c>
      <c r="AE940" t="s">
        <v>3526</v>
      </c>
      <c r="AF940">
        <v>36</v>
      </c>
      <c r="AG940">
        <v>2</v>
      </c>
      <c r="AH940">
        <v>2</v>
      </c>
      <c r="AI940">
        <v>143.07</v>
      </c>
      <c r="AL940" t="s">
        <v>6802</v>
      </c>
      <c r="AM940">
        <v>36840</v>
      </c>
    </row>
    <row r="941" spans="1:44">
      <c r="A941" s="1">
        <f>HYPERLINK("https://lsnyc.legalserver.org/matter/dynamic-profile/view/1913787","19-1913787")</f>
        <v>0</v>
      </c>
      <c r="B941" t="s">
        <v>91</v>
      </c>
      <c r="C941" t="s">
        <v>199</v>
      </c>
      <c r="E941" t="s">
        <v>402</v>
      </c>
      <c r="F941" t="s">
        <v>1857</v>
      </c>
      <c r="G941" t="s">
        <v>2844</v>
      </c>
      <c r="H941">
        <v>610</v>
      </c>
      <c r="I941" t="s">
        <v>3495</v>
      </c>
      <c r="J941">
        <v>10029</v>
      </c>
      <c r="K941" t="s">
        <v>3522</v>
      </c>
      <c r="L941" t="s">
        <v>3525</v>
      </c>
      <c r="N941" t="s">
        <v>3554</v>
      </c>
      <c r="O941" t="s">
        <v>4134</v>
      </c>
      <c r="Q941" t="s">
        <v>4147</v>
      </c>
      <c r="R941" t="s">
        <v>3522</v>
      </c>
      <c r="T941" t="s">
        <v>4156</v>
      </c>
      <c r="U941" t="s">
        <v>4168</v>
      </c>
      <c r="V941" t="s">
        <v>238</v>
      </c>
      <c r="W941">
        <v>713</v>
      </c>
      <c r="X941" t="s">
        <v>4196</v>
      </c>
      <c r="Y941" t="s">
        <v>4198</v>
      </c>
      <c r="Z941" t="s">
        <v>5034</v>
      </c>
      <c r="AC941">
        <v>135</v>
      </c>
      <c r="AD941" t="s">
        <v>6780</v>
      </c>
      <c r="AE941" t="s">
        <v>3526</v>
      </c>
      <c r="AF941">
        <v>36</v>
      </c>
      <c r="AG941">
        <v>2</v>
      </c>
      <c r="AH941">
        <v>2</v>
      </c>
      <c r="AI941">
        <v>143.07</v>
      </c>
      <c r="AL941" t="s">
        <v>6802</v>
      </c>
      <c r="AM941">
        <v>36840</v>
      </c>
    </row>
    <row r="942" spans="1:44">
      <c r="A942" s="1">
        <f>HYPERLINK("https://lsnyc.legalserver.org/matter/dynamic-profile/view/1914714","19-1914714")</f>
        <v>0</v>
      </c>
      <c r="B942" t="s">
        <v>91</v>
      </c>
      <c r="C942" t="s">
        <v>267</v>
      </c>
      <c r="E942" t="s">
        <v>402</v>
      </c>
      <c r="F942" t="s">
        <v>1857</v>
      </c>
      <c r="G942" t="s">
        <v>2844</v>
      </c>
      <c r="H942">
        <v>610</v>
      </c>
      <c r="I942" t="s">
        <v>3495</v>
      </c>
      <c r="J942">
        <v>10029</v>
      </c>
      <c r="K942" t="s">
        <v>3522</v>
      </c>
      <c r="L942" t="s">
        <v>3525</v>
      </c>
      <c r="M942" t="s">
        <v>3934</v>
      </c>
      <c r="N942" t="s">
        <v>4109</v>
      </c>
      <c r="O942" t="s">
        <v>4135</v>
      </c>
      <c r="Q942" t="s">
        <v>4147</v>
      </c>
      <c r="R942" t="s">
        <v>3523</v>
      </c>
      <c r="T942" t="s">
        <v>4156</v>
      </c>
      <c r="U942" t="s">
        <v>4168</v>
      </c>
      <c r="V942" t="s">
        <v>269</v>
      </c>
      <c r="W942">
        <v>713</v>
      </c>
      <c r="X942" t="s">
        <v>4196</v>
      </c>
      <c r="Y942" t="s">
        <v>4201</v>
      </c>
      <c r="Z942" t="s">
        <v>5034</v>
      </c>
      <c r="AC942">
        <v>135</v>
      </c>
      <c r="AD942" t="s">
        <v>6780</v>
      </c>
      <c r="AE942" t="s">
        <v>3526</v>
      </c>
      <c r="AF942">
        <v>36</v>
      </c>
      <c r="AG942">
        <v>2</v>
      </c>
      <c r="AH942">
        <v>2</v>
      </c>
      <c r="AI942">
        <v>143.07</v>
      </c>
      <c r="AL942" t="s">
        <v>6802</v>
      </c>
      <c r="AM942">
        <v>36840</v>
      </c>
    </row>
    <row r="943" spans="1:44">
      <c r="A943" s="1">
        <f>HYPERLINK("https://lsnyc.legalserver.org/matter/dynamic-profile/view/1912978","19-1912978")</f>
        <v>0</v>
      </c>
      <c r="B943" t="s">
        <v>70</v>
      </c>
      <c r="C943" t="s">
        <v>196</v>
      </c>
      <c r="D943" t="s">
        <v>189</v>
      </c>
      <c r="E943" t="s">
        <v>994</v>
      </c>
      <c r="F943" t="s">
        <v>1858</v>
      </c>
      <c r="G943" t="s">
        <v>2845</v>
      </c>
      <c r="I943" t="s">
        <v>3490</v>
      </c>
      <c r="J943">
        <v>11207</v>
      </c>
      <c r="K943" t="s">
        <v>3522</v>
      </c>
      <c r="L943" t="s">
        <v>3525</v>
      </c>
      <c r="M943" t="s">
        <v>3553</v>
      </c>
      <c r="N943" t="s">
        <v>3554</v>
      </c>
      <c r="O943" t="s">
        <v>4132</v>
      </c>
      <c r="P943" t="s">
        <v>4139</v>
      </c>
      <c r="Q943" t="s">
        <v>4147</v>
      </c>
      <c r="R943" t="s">
        <v>3523</v>
      </c>
      <c r="T943" t="s">
        <v>4159</v>
      </c>
      <c r="U943" t="s">
        <v>4168</v>
      </c>
      <c r="V943" t="s">
        <v>178</v>
      </c>
      <c r="W943">
        <v>0</v>
      </c>
      <c r="X943" t="s">
        <v>4193</v>
      </c>
      <c r="Y943" t="s">
        <v>4206</v>
      </c>
      <c r="Z943" t="s">
        <v>5035</v>
      </c>
      <c r="AB943" t="s">
        <v>6375</v>
      </c>
      <c r="AC943">
        <v>65</v>
      </c>
      <c r="AD943" t="s">
        <v>6778</v>
      </c>
      <c r="AF943">
        <v>0</v>
      </c>
      <c r="AG943">
        <v>1</v>
      </c>
      <c r="AH943">
        <v>1</v>
      </c>
      <c r="AI943">
        <v>143.58</v>
      </c>
      <c r="AL943" t="s">
        <v>6802</v>
      </c>
      <c r="AM943">
        <v>24280</v>
      </c>
    </row>
    <row r="944" spans="1:44">
      <c r="A944" s="1">
        <f>HYPERLINK("https://lsnyc.legalserver.org/matter/dynamic-profile/view/1914113","19-1914113")</f>
        <v>0</v>
      </c>
      <c r="B944" t="s">
        <v>60</v>
      </c>
      <c r="C944" t="s">
        <v>191</v>
      </c>
      <c r="E944" t="s">
        <v>739</v>
      </c>
      <c r="F944" t="s">
        <v>1859</v>
      </c>
      <c r="G944" t="s">
        <v>2846</v>
      </c>
      <c r="H944" t="s">
        <v>3384</v>
      </c>
      <c r="I944" t="s">
        <v>3490</v>
      </c>
      <c r="J944">
        <v>11239</v>
      </c>
      <c r="K944" t="s">
        <v>3522</v>
      </c>
      <c r="L944" t="s">
        <v>3525</v>
      </c>
      <c r="M944" t="s">
        <v>3935</v>
      </c>
      <c r="N944" t="s">
        <v>4115</v>
      </c>
      <c r="O944" t="s">
        <v>4134</v>
      </c>
      <c r="Q944" t="s">
        <v>4147</v>
      </c>
      <c r="R944" t="s">
        <v>3523</v>
      </c>
      <c r="T944" t="s">
        <v>4156</v>
      </c>
      <c r="U944" t="s">
        <v>4168</v>
      </c>
      <c r="V944" t="s">
        <v>237</v>
      </c>
      <c r="W944">
        <v>434</v>
      </c>
      <c r="X944" t="s">
        <v>4193</v>
      </c>
      <c r="Y944" t="s">
        <v>4202</v>
      </c>
      <c r="Z944" t="s">
        <v>5036</v>
      </c>
      <c r="AA944" t="s">
        <v>3526</v>
      </c>
      <c r="AB944" t="s">
        <v>6376</v>
      </c>
      <c r="AC944">
        <v>132</v>
      </c>
      <c r="AD944" t="s">
        <v>6776</v>
      </c>
      <c r="AE944" t="s">
        <v>4200</v>
      </c>
      <c r="AF944">
        <v>4</v>
      </c>
      <c r="AG944">
        <v>1</v>
      </c>
      <c r="AH944">
        <v>0</v>
      </c>
      <c r="AI944">
        <v>144.12</v>
      </c>
      <c r="AL944" t="s">
        <v>6801</v>
      </c>
      <c r="AM944">
        <v>18000</v>
      </c>
      <c r="AN944" t="s">
        <v>6863</v>
      </c>
    </row>
    <row r="945" spans="1:39">
      <c r="A945" s="1">
        <f>HYPERLINK("https://lsnyc.legalserver.org/matter/dynamic-profile/view/1908611","19-1908611")</f>
        <v>0</v>
      </c>
      <c r="B945" t="s">
        <v>60</v>
      </c>
      <c r="C945" t="s">
        <v>279</v>
      </c>
      <c r="E945" t="s">
        <v>739</v>
      </c>
      <c r="F945" t="s">
        <v>1859</v>
      </c>
      <c r="G945" t="s">
        <v>2846</v>
      </c>
      <c r="H945" t="s">
        <v>3384</v>
      </c>
      <c r="I945" t="s">
        <v>3490</v>
      </c>
      <c r="J945">
        <v>11239</v>
      </c>
      <c r="K945" t="s">
        <v>3522</v>
      </c>
      <c r="L945" t="s">
        <v>3525</v>
      </c>
      <c r="M945" t="s">
        <v>3936</v>
      </c>
      <c r="N945" t="s">
        <v>4107</v>
      </c>
      <c r="O945" t="s">
        <v>4134</v>
      </c>
      <c r="Q945" t="s">
        <v>4147</v>
      </c>
      <c r="R945" t="s">
        <v>3523</v>
      </c>
      <c r="T945" t="s">
        <v>4156</v>
      </c>
      <c r="U945" t="s">
        <v>4168</v>
      </c>
      <c r="V945" t="s">
        <v>237</v>
      </c>
      <c r="W945">
        <v>434</v>
      </c>
      <c r="X945" t="s">
        <v>4193</v>
      </c>
      <c r="Y945" t="s">
        <v>4202</v>
      </c>
      <c r="Z945" t="s">
        <v>5036</v>
      </c>
      <c r="AA945" t="s">
        <v>3526</v>
      </c>
      <c r="AB945" t="s">
        <v>6376</v>
      </c>
      <c r="AC945">
        <v>132</v>
      </c>
      <c r="AD945" t="s">
        <v>6776</v>
      </c>
      <c r="AE945" t="s">
        <v>4200</v>
      </c>
      <c r="AF945">
        <v>4</v>
      </c>
      <c r="AG945">
        <v>1</v>
      </c>
      <c r="AH945">
        <v>0</v>
      </c>
      <c r="AI945">
        <v>144.12</v>
      </c>
      <c r="AL945" t="s">
        <v>6801</v>
      </c>
      <c r="AM945">
        <v>18000</v>
      </c>
    </row>
    <row r="946" spans="1:39">
      <c r="A946" s="1">
        <f>HYPERLINK("https://lsnyc.legalserver.org/matter/dynamic-profile/view/1908462","19-1908462")</f>
        <v>0</v>
      </c>
      <c r="B946" t="s">
        <v>94</v>
      </c>
      <c r="C946" t="s">
        <v>224</v>
      </c>
      <c r="D946" t="s">
        <v>220</v>
      </c>
      <c r="E946" t="s">
        <v>435</v>
      </c>
      <c r="F946" t="s">
        <v>1860</v>
      </c>
      <c r="G946" t="s">
        <v>2396</v>
      </c>
      <c r="H946" t="s">
        <v>3199</v>
      </c>
      <c r="I946" t="s">
        <v>3495</v>
      </c>
      <c r="J946">
        <v>10035</v>
      </c>
      <c r="K946" t="s">
        <v>3522</v>
      </c>
      <c r="L946" t="s">
        <v>3525</v>
      </c>
      <c r="N946" t="s">
        <v>4108</v>
      </c>
      <c r="O946" t="s">
        <v>4135</v>
      </c>
      <c r="P946" t="s">
        <v>4142</v>
      </c>
      <c r="Q946" t="s">
        <v>4147</v>
      </c>
      <c r="R946" t="s">
        <v>3522</v>
      </c>
      <c r="T946" t="s">
        <v>4156</v>
      </c>
      <c r="U946" t="s">
        <v>4168</v>
      </c>
      <c r="V946" t="s">
        <v>193</v>
      </c>
      <c r="W946">
        <v>1937.63</v>
      </c>
      <c r="X946" t="s">
        <v>4196</v>
      </c>
      <c r="Y946" t="s">
        <v>4198</v>
      </c>
      <c r="Z946" t="s">
        <v>5037</v>
      </c>
      <c r="AB946" t="s">
        <v>6377</v>
      </c>
      <c r="AC946">
        <v>72</v>
      </c>
      <c r="AD946" t="s">
        <v>6772</v>
      </c>
      <c r="AE946" t="s">
        <v>6786</v>
      </c>
      <c r="AF946">
        <v>39</v>
      </c>
      <c r="AG946">
        <v>1</v>
      </c>
      <c r="AH946">
        <v>0</v>
      </c>
      <c r="AI946">
        <v>144.12</v>
      </c>
      <c r="AL946" t="s">
        <v>6801</v>
      </c>
      <c r="AM946">
        <v>18000</v>
      </c>
    </row>
    <row r="947" spans="1:39">
      <c r="A947" s="1">
        <f>HYPERLINK("https://lsnyc.legalserver.org/matter/dynamic-profile/view/1913398","19-1913398")</f>
        <v>0</v>
      </c>
      <c r="B947" t="s">
        <v>90</v>
      </c>
      <c r="C947" t="s">
        <v>192</v>
      </c>
      <c r="E947" t="s">
        <v>995</v>
      </c>
      <c r="F947" t="s">
        <v>1861</v>
      </c>
      <c r="G947" t="s">
        <v>2847</v>
      </c>
      <c r="H947">
        <v>43</v>
      </c>
      <c r="I947" t="s">
        <v>3495</v>
      </c>
      <c r="J947">
        <v>10034</v>
      </c>
      <c r="K947" t="s">
        <v>3522</v>
      </c>
      <c r="L947" t="s">
        <v>3525</v>
      </c>
      <c r="N947" t="s">
        <v>4110</v>
      </c>
      <c r="O947" t="s">
        <v>4137</v>
      </c>
      <c r="Q947" t="s">
        <v>4147</v>
      </c>
      <c r="R947" t="s">
        <v>3522</v>
      </c>
      <c r="T947" t="s">
        <v>4156</v>
      </c>
      <c r="V947" t="s">
        <v>192</v>
      </c>
      <c r="W947">
        <v>2000</v>
      </c>
      <c r="X947" t="s">
        <v>4196</v>
      </c>
      <c r="Y947" t="s">
        <v>4205</v>
      </c>
      <c r="Z947" t="s">
        <v>5038</v>
      </c>
      <c r="AC947">
        <v>49</v>
      </c>
      <c r="AD947" t="s">
        <v>6772</v>
      </c>
      <c r="AE947" t="s">
        <v>3526</v>
      </c>
      <c r="AF947">
        <v>10</v>
      </c>
      <c r="AG947">
        <v>1</v>
      </c>
      <c r="AH947">
        <v>0</v>
      </c>
      <c r="AI947">
        <v>144.12</v>
      </c>
      <c r="AL947" t="s">
        <v>6801</v>
      </c>
      <c r="AM947">
        <v>18000</v>
      </c>
    </row>
    <row r="948" spans="1:39">
      <c r="A948" s="1">
        <f>HYPERLINK("https://lsnyc.legalserver.org/matter/dynamic-profile/view/1910161","19-1910161")</f>
        <v>0</v>
      </c>
      <c r="B948" t="s">
        <v>89</v>
      </c>
      <c r="C948" t="s">
        <v>318</v>
      </c>
      <c r="E948" t="s">
        <v>996</v>
      </c>
      <c r="F948" t="s">
        <v>1862</v>
      </c>
      <c r="G948" t="s">
        <v>2378</v>
      </c>
      <c r="H948" t="s">
        <v>793</v>
      </c>
      <c r="I948" t="s">
        <v>3495</v>
      </c>
      <c r="J948">
        <v>10033</v>
      </c>
      <c r="K948" t="s">
        <v>3522</v>
      </c>
      <c r="L948" t="s">
        <v>3525</v>
      </c>
      <c r="O948" t="s">
        <v>4136</v>
      </c>
      <c r="Q948" t="s">
        <v>4147</v>
      </c>
      <c r="R948" t="s">
        <v>3522</v>
      </c>
      <c r="T948" t="s">
        <v>4156</v>
      </c>
      <c r="V948" t="s">
        <v>318</v>
      </c>
      <c r="W948">
        <v>3250</v>
      </c>
      <c r="X948" t="s">
        <v>4196</v>
      </c>
      <c r="Y948" t="s">
        <v>4205</v>
      </c>
      <c r="Z948" t="s">
        <v>5039</v>
      </c>
      <c r="AB948" t="s">
        <v>6378</v>
      </c>
      <c r="AC948">
        <v>24</v>
      </c>
      <c r="AD948" t="s">
        <v>6772</v>
      </c>
      <c r="AE948" t="s">
        <v>3526</v>
      </c>
      <c r="AF948">
        <v>1</v>
      </c>
      <c r="AG948">
        <v>1</v>
      </c>
      <c r="AH948">
        <v>0</v>
      </c>
      <c r="AI948">
        <v>144.12</v>
      </c>
      <c r="AL948" t="s">
        <v>6801</v>
      </c>
      <c r="AM948">
        <v>18000</v>
      </c>
    </row>
    <row r="949" spans="1:39">
      <c r="A949" s="1">
        <f>HYPERLINK("https://lsnyc.legalserver.org/matter/dynamic-profile/view/1905248","19-1905248")</f>
        <v>0</v>
      </c>
      <c r="B949" t="s">
        <v>99</v>
      </c>
      <c r="C949" t="s">
        <v>255</v>
      </c>
      <c r="E949" t="s">
        <v>997</v>
      </c>
      <c r="F949" t="s">
        <v>1863</v>
      </c>
      <c r="G949" t="s">
        <v>2283</v>
      </c>
      <c r="H949" t="s">
        <v>3220</v>
      </c>
      <c r="I949" t="s">
        <v>3495</v>
      </c>
      <c r="J949">
        <v>10024</v>
      </c>
      <c r="K949" t="s">
        <v>3522</v>
      </c>
      <c r="L949" t="s">
        <v>3525</v>
      </c>
      <c r="M949" t="s">
        <v>3599</v>
      </c>
      <c r="N949" t="s">
        <v>4110</v>
      </c>
      <c r="O949" t="s">
        <v>4137</v>
      </c>
      <c r="Q949" t="s">
        <v>4147</v>
      </c>
      <c r="R949" t="s">
        <v>3522</v>
      </c>
      <c r="T949" t="s">
        <v>4156</v>
      </c>
      <c r="U949" t="s">
        <v>4168</v>
      </c>
      <c r="V949" t="s">
        <v>255</v>
      </c>
      <c r="W949">
        <v>792.7</v>
      </c>
      <c r="X949" t="s">
        <v>4196</v>
      </c>
      <c r="Y949" t="s">
        <v>4207</v>
      </c>
      <c r="Z949" t="s">
        <v>5040</v>
      </c>
      <c r="AB949" t="s">
        <v>6379</v>
      </c>
      <c r="AC949">
        <v>10</v>
      </c>
      <c r="AD949" t="s">
        <v>6772</v>
      </c>
      <c r="AE949" t="s">
        <v>6791</v>
      </c>
      <c r="AF949">
        <v>39</v>
      </c>
      <c r="AG949">
        <v>1</v>
      </c>
      <c r="AH949">
        <v>0</v>
      </c>
      <c r="AI949">
        <v>144.12</v>
      </c>
      <c r="AL949" t="s">
        <v>6801</v>
      </c>
      <c r="AM949">
        <v>18000</v>
      </c>
    </row>
    <row r="950" spans="1:39">
      <c r="A950" s="1">
        <f>HYPERLINK("https://lsnyc.legalserver.org/matter/dynamic-profile/view/1905719","19-1905719")</f>
        <v>0</v>
      </c>
      <c r="B950" t="s">
        <v>143</v>
      </c>
      <c r="C950" t="s">
        <v>285</v>
      </c>
      <c r="E950" t="s">
        <v>998</v>
      </c>
      <c r="F950" t="s">
        <v>1864</v>
      </c>
      <c r="G950" t="s">
        <v>2848</v>
      </c>
      <c r="H950" t="s">
        <v>3209</v>
      </c>
      <c r="I950" t="s">
        <v>3494</v>
      </c>
      <c r="J950">
        <v>10306</v>
      </c>
      <c r="K950" t="s">
        <v>3522</v>
      </c>
      <c r="L950" t="s">
        <v>3525</v>
      </c>
      <c r="M950" t="s">
        <v>3937</v>
      </c>
      <c r="N950" t="s">
        <v>4109</v>
      </c>
      <c r="O950" t="s">
        <v>4134</v>
      </c>
      <c r="Q950" t="s">
        <v>4148</v>
      </c>
      <c r="R950" t="s">
        <v>3523</v>
      </c>
      <c r="T950" t="s">
        <v>4157</v>
      </c>
      <c r="U950" t="s">
        <v>4168</v>
      </c>
      <c r="V950" t="s">
        <v>206</v>
      </c>
      <c r="W950">
        <v>400</v>
      </c>
      <c r="X950" t="s">
        <v>4195</v>
      </c>
      <c r="Y950" t="s">
        <v>4199</v>
      </c>
      <c r="Z950" t="s">
        <v>5041</v>
      </c>
      <c r="AB950" t="s">
        <v>6380</v>
      </c>
      <c r="AC950">
        <v>2</v>
      </c>
      <c r="AD950" t="s">
        <v>6777</v>
      </c>
      <c r="AE950" t="s">
        <v>6786</v>
      </c>
      <c r="AF950">
        <v>1</v>
      </c>
      <c r="AG950">
        <v>1</v>
      </c>
      <c r="AH950">
        <v>2</v>
      </c>
      <c r="AI950">
        <v>144.64</v>
      </c>
      <c r="AJ950" t="s">
        <v>6795</v>
      </c>
      <c r="AK950" t="s">
        <v>6798</v>
      </c>
      <c r="AL950" t="s">
        <v>6801</v>
      </c>
      <c r="AM950">
        <v>30852</v>
      </c>
    </row>
    <row r="951" spans="1:39">
      <c r="A951" s="1">
        <f>HYPERLINK("https://lsnyc.legalserver.org/matter/dynamic-profile/view/1915929","19-1915929")</f>
        <v>0</v>
      </c>
      <c r="B951" t="s">
        <v>45</v>
      </c>
      <c r="C951" t="s">
        <v>220</v>
      </c>
      <c r="E951" t="s">
        <v>685</v>
      </c>
      <c r="F951" t="s">
        <v>1266</v>
      </c>
      <c r="G951" t="s">
        <v>2165</v>
      </c>
      <c r="H951">
        <v>40</v>
      </c>
      <c r="I951" t="s">
        <v>3479</v>
      </c>
      <c r="J951">
        <v>11691</v>
      </c>
      <c r="K951" t="s">
        <v>3522</v>
      </c>
      <c r="L951" t="s">
        <v>3525</v>
      </c>
      <c r="N951" t="s">
        <v>4109</v>
      </c>
      <c r="O951" t="s">
        <v>4134</v>
      </c>
      <c r="Q951" t="s">
        <v>4147</v>
      </c>
      <c r="R951" t="s">
        <v>3523</v>
      </c>
      <c r="T951" t="s">
        <v>4156</v>
      </c>
      <c r="V951" t="s">
        <v>220</v>
      </c>
      <c r="W951">
        <v>660</v>
      </c>
      <c r="X951" t="s">
        <v>4192</v>
      </c>
      <c r="Y951" t="s">
        <v>4198</v>
      </c>
      <c r="Z951" t="s">
        <v>4867</v>
      </c>
      <c r="AB951" t="s">
        <v>6217</v>
      </c>
      <c r="AC951">
        <v>43</v>
      </c>
      <c r="AD951" t="s">
        <v>6772</v>
      </c>
      <c r="AE951" t="s">
        <v>3526</v>
      </c>
      <c r="AF951">
        <v>40</v>
      </c>
      <c r="AG951">
        <v>1</v>
      </c>
      <c r="AH951">
        <v>0</v>
      </c>
      <c r="AI951">
        <v>145.17</v>
      </c>
      <c r="AL951" t="s">
        <v>6801</v>
      </c>
      <c r="AM951">
        <v>18132</v>
      </c>
    </row>
    <row r="952" spans="1:39">
      <c r="A952" s="1">
        <f>HYPERLINK("https://lsnyc.legalserver.org/matter/dynamic-profile/view/1915933","19-1915933")</f>
        <v>0</v>
      </c>
      <c r="B952" t="s">
        <v>45</v>
      </c>
      <c r="C952" t="s">
        <v>220</v>
      </c>
      <c r="E952" t="s">
        <v>685</v>
      </c>
      <c r="F952" t="s">
        <v>1266</v>
      </c>
      <c r="G952" t="s">
        <v>2165</v>
      </c>
      <c r="H952">
        <v>40</v>
      </c>
      <c r="I952" t="s">
        <v>3479</v>
      </c>
      <c r="J952">
        <v>11691</v>
      </c>
      <c r="K952" t="s">
        <v>3522</v>
      </c>
      <c r="L952" t="s">
        <v>3525</v>
      </c>
      <c r="N952" t="s">
        <v>4116</v>
      </c>
      <c r="O952" t="s">
        <v>4133</v>
      </c>
      <c r="Q952" t="s">
        <v>4147</v>
      </c>
      <c r="R952" t="s">
        <v>3523</v>
      </c>
      <c r="T952" t="s">
        <v>4156</v>
      </c>
      <c r="V952" t="s">
        <v>220</v>
      </c>
      <c r="W952">
        <v>660</v>
      </c>
      <c r="X952" t="s">
        <v>4192</v>
      </c>
      <c r="Y952" t="s">
        <v>4198</v>
      </c>
      <c r="Z952" t="s">
        <v>4867</v>
      </c>
      <c r="AB952" t="s">
        <v>6217</v>
      </c>
      <c r="AC952">
        <v>43</v>
      </c>
      <c r="AD952" t="s">
        <v>6772</v>
      </c>
      <c r="AE952" t="s">
        <v>3526</v>
      </c>
      <c r="AF952">
        <v>40</v>
      </c>
      <c r="AG952">
        <v>1</v>
      </c>
      <c r="AH952">
        <v>0</v>
      </c>
      <c r="AI952">
        <v>145.17</v>
      </c>
      <c r="AL952" t="s">
        <v>6801</v>
      </c>
      <c r="AM952">
        <v>18132</v>
      </c>
    </row>
    <row r="953" spans="1:39">
      <c r="A953" s="1">
        <f>HYPERLINK("https://lsnyc.legalserver.org/matter/dynamic-profile/view/1907892","19-1907892")</f>
        <v>0</v>
      </c>
      <c r="B953" t="s">
        <v>89</v>
      </c>
      <c r="C953" t="s">
        <v>265</v>
      </c>
      <c r="E953" t="s">
        <v>576</v>
      </c>
      <c r="F953" t="s">
        <v>1865</v>
      </c>
      <c r="G953" t="s">
        <v>2849</v>
      </c>
      <c r="H953">
        <v>45</v>
      </c>
      <c r="I953" t="s">
        <v>3495</v>
      </c>
      <c r="J953">
        <v>10032</v>
      </c>
      <c r="K953" t="s">
        <v>3522</v>
      </c>
      <c r="L953" t="s">
        <v>3525</v>
      </c>
      <c r="O953" t="s">
        <v>4136</v>
      </c>
      <c r="Q953" t="s">
        <v>4147</v>
      </c>
      <c r="R953" t="s">
        <v>3522</v>
      </c>
      <c r="T953" t="s">
        <v>4156</v>
      </c>
      <c r="V953" t="s">
        <v>298</v>
      </c>
      <c r="W953">
        <v>1400</v>
      </c>
      <c r="X953" t="s">
        <v>4196</v>
      </c>
      <c r="Y953" t="s">
        <v>4205</v>
      </c>
      <c r="AB953" t="s">
        <v>6381</v>
      </c>
      <c r="AC953">
        <v>46</v>
      </c>
      <c r="AD953" t="s">
        <v>6772</v>
      </c>
      <c r="AF953">
        <v>4</v>
      </c>
      <c r="AG953">
        <v>1</v>
      </c>
      <c r="AH953">
        <v>2</v>
      </c>
      <c r="AI953">
        <v>145.34</v>
      </c>
      <c r="AL953" t="s">
        <v>6801</v>
      </c>
      <c r="AM953">
        <v>31000</v>
      </c>
    </row>
    <row r="954" spans="1:39">
      <c r="A954" s="1">
        <f>HYPERLINK("https://lsnyc.legalserver.org/matter/dynamic-profile/view/1912109","19-1912109")</f>
        <v>0</v>
      </c>
      <c r="B954" t="s">
        <v>88</v>
      </c>
      <c r="C954" t="s">
        <v>333</v>
      </c>
      <c r="E954" t="s">
        <v>999</v>
      </c>
      <c r="F954" t="s">
        <v>1325</v>
      </c>
      <c r="G954" t="s">
        <v>2254</v>
      </c>
      <c r="H954">
        <v>311</v>
      </c>
      <c r="I954" t="s">
        <v>3495</v>
      </c>
      <c r="J954">
        <v>10034</v>
      </c>
      <c r="K954" t="s">
        <v>3522</v>
      </c>
      <c r="L954" t="s">
        <v>3525</v>
      </c>
      <c r="N954" t="s">
        <v>4116</v>
      </c>
      <c r="O954" t="s">
        <v>4135</v>
      </c>
      <c r="Q954" t="s">
        <v>4147</v>
      </c>
      <c r="R954" t="s">
        <v>3523</v>
      </c>
      <c r="T954" t="s">
        <v>4156</v>
      </c>
      <c r="V954" t="s">
        <v>333</v>
      </c>
      <c r="W954">
        <v>846.63</v>
      </c>
      <c r="X954" t="s">
        <v>4196</v>
      </c>
      <c r="Y954" t="s">
        <v>4201</v>
      </c>
      <c r="Z954" t="s">
        <v>4250</v>
      </c>
      <c r="AB954" t="s">
        <v>6382</v>
      </c>
      <c r="AC954">
        <v>72</v>
      </c>
      <c r="AD954" t="s">
        <v>6772</v>
      </c>
      <c r="AE954" t="s">
        <v>6791</v>
      </c>
      <c r="AF954">
        <v>35</v>
      </c>
      <c r="AG954">
        <v>2</v>
      </c>
      <c r="AH954">
        <v>0</v>
      </c>
      <c r="AI954">
        <v>145.48</v>
      </c>
      <c r="AL954" t="s">
        <v>6801</v>
      </c>
      <c r="AM954">
        <v>24600</v>
      </c>
    </row>
    <row r="955" spans="1:39">
      <c r="A955" s="1">
        <f>HYPERLINK("https://lsnyc.legalserver.org/matter/dynamic-profile/view/1913318","19-1913318")</f>
        <v>0</v>
      </c>
      <c r="B955" t="s">
        <v>172</v>
      </c>
      <c r="C955" t="s">
        <v>192</v>
      </c>
      <c r="D955" t="s">
        <v>243</v>
      </c>
      <c r="E955" t="s">
        <v>1000</v>
      </c>
      <c r="F955" t="s">
        <v>1214</v>
      </c>
      <c r="G955" t="s">
        <v>2850</v>
      </c>
      <c r="H955" t="s">
        <v>3220</v>
      </c>
      <c r="I955" t="s">
        <v>3495</v>
      </c>
      <c r="J955">
        <v>10029</v>
      </c>
      <c r="K955" t="s">
        <v>3522</v>
      </c>
      <c r="L955" t="s">
        <v>3525</v>
      </c>
      <c r="N955" t="s">
        <v>4121</v>
      </c>
      <c r="O955" t="s">
        <v>4133</v>
      </c>
      <c r="P955" t="s">
        <v>4146</v>
      </c>
      <c r="Q955" t="s">
        <v>4147</v>
      </c>
      <c r="R955" t="s">
        <v>3523</v>
      </c>
      <c r="T955" t="s">
        <v>4162</v>
      </c>
      <c r="U955" t="s">
        <v>4168</v>
      </c>
      <c r="V955" t="s">
        <v>256</v>
      </c>
      <c r="W955">
        <v>986</v>
      </c>
      <c r="X955" t="s">
        <v>4196</v>
      </c>
      <c r="Y955" t="s">
        <v>4201</v>
      </c>
      <c r="Z955" t="s">
        <v>5042</v>
      </c>
      <c r="AB955" t="s">
        <v>6383</v>
      </c>
      <c r="AC955">
        <v>24</v>
      </c>
      <c r="AD955" t="s">
        <v>6776</v>
      </c>
      <c r="AE955" t="s">
        <v>3526</v>
      </c>
      <c r="AF955">
        <v>1</v>
      </c>
      <c r="AG955">
        <v>2</v>
      </c>
      <c r="AH955">
        <v>2</v>
      </c>
      <c r="AI955">
        <v>145.63</v>
      </c>
      <c r="AL955" t="s">
        <v>6802</v>
      </c>
      <c r="AM955">
        <v>37500</v>
      </c>
    </row>
    <row r="956" spans="1:39">
      <c r="A956" s="1">
        <f>HYPERLINK("https://lsnyc.legalserver.org/matter/dynamic-profile/view/1913365","19-1913365")</f>
        <v>0</v>
      </c>
      <c r="B956" t="s">
        <v>89</v>
      </c>
      <c r="C956" t="s">
        <v>192</v>
      </c>
      <c r="D956" t="s">
        <v>383</v>
      </c>
      <c r="E956" t="s">
        <v>576</v>
      </c>
      <c r="F956" t="s">
        <v>1866</v>
      </c>
      <c r="G956" t="s">
        <v>2851</v>
      </c>
      <c r="H956" t="s">
        <v>3343</v>
      </c>
      <c r="I956" t="s">
        <v>3495</v>
      </c>
      <c r="J956">
        <v>10034</v>
      </c>
      <c r="K956" t="s">
        <v>3522</v>
      </c>
      <c r="L956" t="s">
        <v>3525</v>
      </c>
      <c r="N956" t="s">
        <v>4113</v>
      </c>
      <c r="O956" t="s">
        <v>4132</v>
      </c>
      <c r="P956" t="s">
        <v>4139</v>
      </c>
      <c r="Q956" t="s">
        <v>4147</v>
      </c>
      <c r="R956" t="s">
        <v>3523</v>
      </c>
      <c r="T956" t="s">
        <v>4156</v>
      </c>
      <c r="V956" t="s">
        <v>267</v>
      </c>
      <c r="W956">
        <v>1400</v>
      </c>
      <c r="X956" t="s">
        <v>4196</v>
      </c>
      <c r="Y956" t="s">
        <v>4212</v>
      </c>
      <c r="Z956" t="s">
        <v>5043</v>
      </c>
      <c r="AB956" t="s">
        <v>6384</v>
      </c>
      <c r="AC956">
        <v>60</v>
      </c>
      <c r="AD956" t="s">
        <v>6772</v>
      </c>
      <c r="AE956" t="s">
        <v>3526</v>
      </c>
      <c r="AF956">
        <v>7</v>
      </c>
      <c r="AG956">
        <v>1</v>
      </c>
      <c r="AH956">
        <v>0</v>
      </c>
      <c r="AI956">
        <v>145.72</v>
      </c>
      <c r="AL956" t="s">
        <v>6801</v>
      </c>
      <c r="AM956">
        <v>18200</v>
      </c>
    </row>
    <row r="957" spans="1:39">
      <c r="A957" s="1">
        <f>HYPERLINK("https://lsnyc.legalserver.org/matter/dynamic-profile/view/1914395","19-1914395")</f>
        <v>0</v>
      </c>
      <c r="B957" t="s">
        <v>93</v>
      </c>
      <c r="C957" t="s">
        <v>289</v>
      </c>
      <c r="E957" t="s">
        <v>402</v>
      </c>
      <c r="F957" t="s">
        <v>1867</v>
      </c>
      <c r="G957" t="s">
        <v>2852</v>
      </c>
      <c r="H957">
        <v>2</v>
      </c>
      <c r="I957" t="s">
        <v>3495</v>
      </c>
      <c r="J957">
        <v>10034</v>
      </c>
      <c r="K957" t="s">
        <v>3522</v>
      </c>
      <c r="L957" t="s">
        <v>3525</v>
      </c>
      <c r="O957" t="s">
        <v>4134</v>
      </c>
      <c r="Q957" t="s">
        <v>4147</v>
      </c>
      <c r="R957" t="s">
        <v>3523</v>
      </c>
      <c r="T957" t="s">
        <v>4156</v>
      </c>
      <c r="V957" t="s">
        <v>260</v>
      </c>
      <c r="W957">
        <v>312</v>
      </c>
      <c r="X957" t="s">
        <v>4196</v>
      </c>
      <c r="Y957" t="s">
        <v>4201</v>
      </c>
      <c r="Z957" t="s">
        <v>5044</v>
      </c>
      <c r="AB957" t="s">
        <v>6385</v>
      </c>
      <c r="AC957">
        <v>22</v>
      </c>
      <c r="AD957" t="s">
        <v>6772</v>
      </c>
      <c r="AE957" t="s">
        <v>6786</v>
      </c>
      <c r="AF957">
        <v>39</v>
      </c>
      <c r="AG957">
        <v>2</v>
      </c>
      <c r="AH957">
        <v>0</v>
      </c>
      <c r="AI957">
        <v>145.76</v>
      </c>
      <c r="AL957" t="s">
        <v>6801</v>
      </c>
      <c r="AM957">
        <v>24648</v>
      </c>
    </row>
    <row r="958" spans="1:39">
      <c r="A958" s="1">
        <f>HYPERLINK("https://lsnyc.legalserver.org/matter/dynamic-profile/view/1915044","19-1915044")</f>
        <v>0</v>
      </c>
      <c r="B958" t="s">
        <v>94</v>
      </c>
      <c r="C958" t="s">
        <v>219</v>
      </c>
      <c r="E958" t="s">
        <v>1001</v>
      </c>
      <c r="F958" t="s">
        <v>1868</v>
      </c>
      <c r="G958" t="s">
        <v>2480</v>
      </c>
      <c r="H958" t="s">
        <v>3318</v>
      </c>
      <c r="I958" t="s">
        <v>3495</v>
      </c>
      <c r="J958">
        <v>10035</v>
      </c>
      <c r="K958" t="s">
        <v>3522</v>
      </c>
      <c r="L958" t="s">
        <v>3525</v>
      </c>
      <c r="N958" t="s">
        <v>4110</v>
      </c>
      <c r="O958" t="s">
        <v>4134</v>
      </c>
      <c r="Q958" t="s">
        <v>4147</v>
      </c>
      <c r="R958" t="s">
        <v>3522</v>
      </c>
      <c r="T958" t="s">
        <v>4156</v>
      </c>
      <c r="U958" t="s">
        <v>4168</v>
      </c>
      <c r="V958" t="s">
        <v>219</v>
      </c>
      <c r="W958">
        <v>892</v>
      </c>
      <c r="X958" t="s">
        <v>4196</v>
      </c>
      <c r="Y958" t="s">
        <v>4201</v>
      </c>
      <c r="Z958" t="s">
        <v>5045</v>
      </c>
      <c r="AB958" t="s">
        <v>6386</v>
      </c>
      <c r="AC958">
        <v>60</v>
      </c>
      <c r="AD958" t="s">
        <v>6772</v>
      </c>
      <c r="AE958" t="s">
        <v>6786</v>
      </c>
      <c r="AF958">
        <v>5</v>
      </c>
      <c r="AG958">
        <v>2</v>
      </c>
      <c r="AH958">
        <v>3</v>
      </c>
      <c r="AI958">
        <v>145.84</v>
      </c>
      <c r="AL958" t="s">
        <v>6801</v>
      </c>
      <c r="AM958">
        <v>44000</v>
      </c>
    </row>
    <row r="959" spans="1:39">
      <c r="A959" s="1">
        <f>HYPERLINK("https://lsnyc.legalserver.org/matter/dynamic-profile/view/1914766","19-1914766")</f>
        <v>0</v>
      </c>
      <c r="B959" t="s">
        <v>94</v>
      </c>
      <c r="C959" t="s">
        <v>267</v>
      </c>
      <c r="E959" t="s">
        <v>1001</v>
      </c>
      <c r="F959" t="s">
        <v>1868</v>
      </c>
      <c r="G959" t="s">
        <v>2480</v>
      </c>
      <c r="H959" t="s">
        <v>3318</v>
      </c>
      <c r="I959" t="s">
        <v>3495</v>
      </c>
      <c r="J959">
        <v>10035</v>
      </c>
      <c r="K959" t="s">
        <v>3522</v>
      </c>
      <c r="L959" t="s">
        <v>3525</v>
      </c>
      <c r="N959" t="s">
        <v>4108</v>
      </c>
      <c r="O959" t="s">
        <v>4134</v>
      </c>
      <c r="Q959" t="s">
        <v>4147</v>
      </c>
      <c r="R959" t="s">
        <v>3522</v>
      </c>
      <c r="T959" t="s">
        <v>4156</v>
      </c>
      <c r="U959" t="s">
        <v>4168</v>
      </c>
      <c r="V959" t="s">
        <v>267</v>
      </c>
      <c r="W959">
        <v>892</v>
      </c>
      <c r="X959" t="s">
        <v>4196</v>
      </c>
      <c r="Y959" t="s">
        <v>4201</v>
      </c>
      <c r="Z959" t="s">
        <v>5045</v>
      </c>
      <c r="AB959" t="s">
        <v>6386</v>
      </c>
      <c r="AC959">
        <v>60</v>
      </c>
      <c r="AD959" t="s">
        <v>6772</v>
      </c>
      <c r="AE959" t="s">
        <v>6786</v>
      </c>
      <c r="AF959">
        <v>5</v>
      </c>
      <c r="AG959">
        <v>2</v>
      </c>
      <c r="AH959">
        <v>3</v>
      </c>
      <c r="AI959">
        <v>145.84</v>
      </c>
      <c r="AL959" t="s">
        <v>6801</v>
      </c>
      <c r="AM959">
        <v>44000</v>
      </c>
    </row>
    <row r="960" spans="1:39">
      <c r="A960" s="1">
        <f>HYPERLINK("https://lsnyc.legalserver.org/matter/dynamic-profile/view/1914786","19-1914786")</f>
        <v>0</v>
      </c>
      <c r="B960" t="s">
        <v>67</v>
      </c>
      <c r="C960" t="s">
        <v>267</v>
      </c>
      <c r="E960" t="s">
        <v>1002</v>
      </c>
      <c r="F960" t="s">
        <v>1869</v>
      </c>
      <c r="G960" t="s">
        <v>2212</v>
      </c>
      <c r="H960">
        <v>37</v>
      </c>
      <c r="I960" t="s">
        <v>3490</v>
      </c>
      <c r="J960">
        <v>11213</v>
      </c>
      <c r="K960" t="s">
        <v>3522</v>
      </c>
      <c r="L960" t="s">
        <v>3525</v>
      </c>
      <c r="M960" t="s">
        <v>3570</v>
      </c>
      <c r="N960" t="s">
        <v>4115</v>
      </c>
      <c r="O960" t="s">
        <v>4134</v>
      </c>
      <c r="Q960" t="s">
        <v>4147</v>
      </c>
      <c r="R960" t="s">
        <v>3522</v>
      </c>
      <c r="T960" t="s">
        <v>4156</v>
      </c>
      <c r="U960" t="s">
        <v>4168</v>
      </c>
      <c r="V960" t="s">
        <v>4178</v>
      </c>
      <c r="W960">
        <v>798.41</v>
      </c>
      <c r="X960" t="s">
        <v>4193</v>
      </c>
      <c r="Y960" t="s">
        <v>4200</v>
      </c>
      <c r="Z960" t="s">
        <v>5046</v>
      </c>
      <c r="AA960" t="s">
        <v>3526</v>
      </c>
      <c r="AB960" t="s">
        <v>6387</v>
      </c>
      <c r="AC960">
        <v>31</v>
      </c>
      <c r="AD960" t="s">
        <v>6772</v>
      </c>
      <c r="AE960" t="s">
        <v>6791</v>
      </c>
      <c r="AF960">
        <v>41</v>
      </c>
      <c r="AG960">
        <v>2</v>
      </c>
      <c r="AH960">
        <v>0</v>
      </c>
      <c r="AI960">
        <v>146.08</v>
      </c>
      <c r="AL960" t="s">
        <v>6801</v>
      </c>
      <c r="AM960">
        <v>24702</v>
      </c>
    </row>
    <row r="961" spans="1:42">
      <c r="A961" s="1">
        <f>HYPERLINK("https://lsnyc.legalserver.org/matter/dynamic-profile/view/1914636","19-1914636")</f>
        <v>0</v>
      </c>
      <c r="B961" t="s">
        <v>58</v>
      </c>
      <c r="C961" t="s">
        <v>269</v>
      </c>
      <c r="E961" t="s">
        <v>1002</v>
      </c>
      <c r="F961" t="s">
        <v>1869</v>
      </c>
      <c r="G961" t="s">
        <v>2212</v>
      </c>
      <c r="H961">
        <v>37</v>
      </c>
      <c r="I961" t="s">
        <v>3490</v>
      </c>
      <c r="J961">
        <v>11213</v>
      </c>
      <c r="K961" t="s">
        <v>3522</v>
      </c>
      <c r="L961" t="s">
        <v>3525</v>
      </c>
      <c r="M961" t="s">
        <v>3570</v>
      </c>
      <c r="N961" t="s">
        <v>4110</v>
      </c>
      <c r="O961" t="s">
        <v>4137</v>
      </c>
      <c r="Q961" t="s">
        <v>4147</v>
      </c>
      <c r="R961" t="s">
        <v>3522</v>
      </c>
      <c r="T961" t="s">
        <v>4156</v>
      </c>
      <c r="U961" t="s">
        <v>4168</v>
      </c>
      <c r="V961" t="s">
        <v>273</v>
      </c>
      <c r="W961">
        <v>798.41</v>
      </c>
      <c r="X961" t="s">
        <v>4193</v>
      </c>
      <c r="Y961" t="s">
        <v>4206</v>
      </c>
      <c r="Z961" t="s">
        <v>5046</v>
      </c>
      <c r="AA961" t="s">
        <v>3562</v>
      </c>
      <c r="AB961" t="s">
        <v>6387</v>
      </c>
      <c r="AC961">
        <v>31</v>
      </c>
      <c r="AD961" t="s">
        <v>6772</v>
      </c>
      <c r="AE961" t="s">
        <v>6791</v>
      </c>
      <c r="AF961">
        <v>41</v>
      </c>
      <c r="AG961">
        <v>2</v>
      </c>
      <c r="AH961">
        <v>0</v>
      </c>
      <c r="AI961">
        <v>146.08</v>
      </c>
      <c r="AL961" t="s">
        <v>6801</v>
      </c>
      <c r="AM961">
        <v>24702</v>
      </c>
    </row>
    <row r="962" spans="1:42">
      <c r="A962" s="1">
        <f>HYPERLINK("https://lsnyc.legalserver.org/matter/dynamic-profile/view/1914639","19-1914639")</f>
        <v>0</v>
      </c>
      <c r="B962" t="s">
        <v>58</v>
      </c>
      <c r="C962" t="s">
        <v>269</v>
      </c>
      <c r="E962" t="s">
        <v>1002</v>
      </c>
      <c r="F962" t="s">
        <v>1869</v>
      </c>
      <c r="G962" t="s">
        <v>2212</v>
      </c>
      <c r="H962">
        <v>37</v>
      </c>
      <c r="I962" t="s">
        <v>3490</v>
      </c>
      <c r="J962">
        <v>11213</v>
      </c>
      <c r="K962" t="s">
        <v>3522</v>
      </c>
      <c r="L962" t="s">
        <v>3525</v>
      </c>
      <c r="M962" t="s">
        <v>3562</v>
      </c>
      <c r="N962" t="s">
        <v>4110</v>
      </c>
      <c r="O962" t="s">
        <v>4137</v>
      </c>
      <c r="Q962" t="s">
        <v>4147</v>
      </c>
      <c r="R962" t="s">
        <v>3523</v>
      </c>
      <c r="T962" t="s">
        <v>4156</v>
      </c>
      <c r="U962" t="s">
        <v>4168</v>
      </c>
      <c r="V962" t="s">
        <v>199</v>
      </c>
      <c r="W962">
        <v>798.41</v>
      </c>
      <c r="X962" t="s">
        <v>4193</v>
      </c>
      <c r="Y962" t="s">
        <v>4206</v>
      </c>
      <c r="Z962" t="s">
        <v>5046</v>
      </c>
      <c r="AA962" t="s">
        <v>3562</v>
      </c>
      <c r="AB962" t="s">
        <v>6387</v>
      </c>
      <c r="AC962">
        <v>31</v>
      </c>
      <c r="AD962" t="s">
        <v>6772</v>
      </c>
      <c r="AE962" t="s">
        <v>6791</v>
      </c>
      <c r="AF962">
        <v>41</v>
      </c>
      <c r="AG962">
        <v>2</v>
      </c>
      <c r="AH962">
        <v>0</v>
      </c>
      <c r="AI962">
        <v>146.08</v>
      </c>
      <c r="AL962" t="s">
        <v>6801</v>
      </c>
      <c r="AM962">
        <v>24702</v>
      </c>
    </row>
    <row r="963" spans="1:42">
      <c r="A963" s="1">
        <f>HYPERLINK("https://lsnyc.legalserver.org/matter/dynamic-profile/view/1909731","19-1909731")</f>
        <v>0</v>
      </c>
      <c r="B963" t="s">
        <v>54</v>
      </c>
      <c r="C963" t="s">
        <v>227</v>
      </c>
      <c r="E963" t="s">
        <v>1002</v>
      </c>
      <c r="F963" t="s">
        <v>1869</v>
      </c>
      <c r="G963" t="s">
        <v>2212</v>
      </c>
      <c r="H963">
        <v>37</v>
      </c>
      <c r="I963" t="s">
        <v>3490</v>
      </c>
      <c r="J963">
        <v>11213</v>
      </c>
      <c r="K963" t="s">
        <v>3522</v>
      </c>
      <c r="L963" t="s">
        <v>3525</v>
      </c>
      <c r="M963" t="s">
        <v>3554</v>
      </c>
      <c r="N963" t="s">
        <v>4128</v>
      </c>
      <c r="O963" t="s">
        <v>4135</v>
      </c>
      <c r="Q963" t="s">
        <v>4147</v>
      </c>
      <c r="R963" t="s">
        <v>3523</v>
      </c>
      <c r="T963" t="s">
        <v>4156</v>
      </c>
      <c r="U963" t="s">
        <v>4168</v>
      </c>
      <c r="V963" t="s">
        <v>231</v>
      </c>
      <c r="W963">
        <v>798.41</v>
      </c>
      <c r="X963" t="s">
        <v>4193</v>
      </c>
      <c r="Y963" t="s">
        <v>4200</v>
      </c>
      <c r="Z963" t="s">
        <v>5046</v>
      </c>
      <c r="AA963" t="s">
        <v>3526</v>
      </c>
      <c r="AB963" t="s">
        <v>6387</v>
      </c>
      <c r="AC963">
        <v>31</v>
      </c>
      <c r="AD963" t="s">
        <v>6772</v>
      </c>
      <c r="AE963" t="s">
        <v>6791</v>
      </c>
      <c r="AF963">
        <v>41</v>
      </c>
      <c r="AG963">
        <v>2</v>
      </c>
      <c r="AH963">
        <v>0</v>
      </c>
      <c r="AI963">
        <v>146.08</v>
      </c>
      <c r="AL963" t="s">
        <v>6801</v>
      </c>
      <c r="AM963">
        <v>24702</v>
      </c>
    </row>
    <row r="964" spans="1:42">
      <c r="A964" s="1">
        <f>HYPERLINK("https://lsnyc.legalserver.org/matter/dynamic-profile/view/1913860","19-1913860")</f>
        <v>0</v>
      </c>
      <c r="B964" t="s">
        <v>67</v>
      </c>
      <c r="C964" t="s">
        <v>199</v>
      </c>
      <c r="E964" t="s">
        <v>1002</v>
      </c>
      <c r="F964" t="s">
        <v>1869</v>
      </c>
      <c r="G964" t="s">
        <v>2212</v>
      </c>
      <c r="H964">
        <v>37</v>
      </c>
      <c r="I964" t="s">
        <v>3490</v>
      </c>
      <c r="J964">
        <v>11213</v>
      </c>
      <c r="K964" t="s">
        <v>3522</v>
      </c>
      <c r="L964" t="s">
        <v>3525</v>
      </c>
      <c r="M964" t="s">
        <v>3553</v>
      </c>
      <c r="N964" t="s">
        <v>3554</v>
      </c>
      <c r="O964" t="s">
        <v>4135</v>
      </c>
      <c r="Q964" t="s">
        <v>4147</v>
      </c>
      <c r="R964" t="s">
        <v>3522</v>
      </c>
      <c r="T964" t="s">
        <v>4156</v>
      </c>
      <c r="U964" t="s">
        <v>4168</v>
      </c>
      <c r="V964" t="s">
        <v>199</v>
      </c>
      <c r="W964">
        <v>798.41</v>
      </c>
      <c r="X964" t="s">
        <v>4193</v>
      </c>
      <c r="Y964" t="s">
        <v>4200</v>
      </c>
      <c r="Z964" t="s">
        <v>5046</v>
      </c>
      <c r="AA964" t="s">
        <v>3526</v>
      </c>
      <c r="AB964" t="s">
        <v>6387</v>
      </c>
      <c r="AC964">
        <v>31</v>
      </c>
      <c r="AD964" t="s">
        <v>6772</v>
      </c>
      <c r="AE964" t="s">
        <v>6791</v>
      </c>
      <c r="AF964">
        <v>41</v>
      </c>
      <c r="AG964">
        <v>2</v>
      </c>
      <c r="AH964">
        <v>0</v>
      </c>
      <c r="AI964">
        <v>146.08</v>
      </c>
      <c r="AL964" t="s">
        <v>6801</v>
      </c>
      <c r="AM964">
        <v>24702</v>
      </c>
    </row>
    <row r="965" spans="1:42">
      <c r="A965" s="1">
        <f>HYPERLINK("https://lsnyc.legalserver.org/matter/dynamic-profile/view/1915342","19-1915342")</f>
        <v>0</v>
      </c>
      <c r="B965" t="s">
        <v>104</v>
      </c>
      <c r="C965" t="s">
        <v>260</v>
      </c>
      <c r="D965" t="s">
        <v>248</v>
      </c>
      <c r="E965" t="s">
        <v>1003</v>
      </c>
      <c r="F965" t="s">
        <v>1449</v>
      </c>
      <c r="G965" t="s">
        <v>2853</v>
      </c>
      <c r="H965" t="s">
        <v>3214</v>
      </c>
      <c r="I965" t="s">
        <v>3493</v>
      </c>
      <c r="J965">
        <v>10452</v>
      </c>
      <c r="K965" t="s">
        <v>3522</v>
      </c>
      <c r="L965" t="s">
        <v>3525</v>
      </c>
      <c r="O965" t="s">
        <v>4135</v>
      </c>
      <c r="P965" t="s">
        <v>4142</v>
      </c>
      <c r="Q965" t="s">
        <v>4147</v>
      </c>
      <c r="R965" t="s">
        <v>3523</v>
      </c>
      <c r="T965" t="s">
        <v>4156</v>
      </c>
      <c r="V965" t="s">
        <v>253</v>
      </c>
      <c r="W965">
        <v>1141</v>
      </c>
      <c r="X965" t="s">
        <v>4194</v>
      </c>
      <c r="Y965" t="s">
        <v>4206</v>
      </c>
      <c r="Z965" t="s">
        <v>5047</v>
      </c>
      <c r="AC965">
        <v>82</v>
      </c>
      <c r="AD965" t="s">
        <v>5524</v>
      </c>
      <c r="AE965" t="s">
        <v>3526</v>
      </c>
      <c r="AF965">
        <v>6</v>
      </c>
      <c r="AG965">
        <v>3</v>
      </c>
      <c r="AH965">
        <v>0</v>
      </c>
      <c r="AI965">
        <v>146.16</v>
      </c>
      <c r="AL965" t="s">
        <v>6802</v>
      </c>
      <c r="AM965">
        <v>31176</v>
      </c>
    </row>
    <row r="966" spans="1:42">
      <c r="A966" s="1">
        <f>HYPERLINK("https://lsnyc.legalserver.org/matter/dynamic-profile/view/1914674","19-1914674")</f>
        <v>0</v>
      </c>
      <c r="B966" t="s">
        <v>66</v>
      </c>
      <c r="C966" t="s">
        <v>269</v>
      </c>
      <c r="E966" t="s">
        <v>429</v>
      </c>
      <c r="F966" t="s">
        <v>1870</v>
      </c>
      <c r="G966" t="s">
        <v>2854</v>
      </c>
      <c r="H966">
        <v>24</v>
      </c>
      <c r="I966" t="s">
        <v>3490</v>
      </c>
      <c r="J966">
        <v>11230</v>
      </c>
      <c r="K966" t="s">
        <v>3522</v>
      </c>
      <c r="L966" t="s">
        <v>3525</v>
      </c>
      <c r="O966" t="s">
        <v>4134</v>
      </c>
      <c r="Q966" t="s">
        <v>4147</v>
      </c>
      <c r="T966" t="s">
        <v>4156</v>
      </c>
      <c r="V966" t="s">
        <v>269</v>
      </c>
      <c r="W966">
        <v>830</v>
      </c>
      <c r="X966" t="s">
        <v>4193</v>
      </c>
      <c r="Z966" t="s">
        <v>5048</v>
      </c>
      <c r="AB966" t="s">
        <v>6388</v>
      </c>
      <c r="AC966">
        <v>0</v>
      </c>
      <c r="AF966">
        <v>40</v>
      </c>
      <c r="AG966">
        <v>2</v>
      </c>
      <c r="AH966">
        <v>0</v>
      </c>
      <c r="AI966">
        <v>146.19</v>
      </c>
      <c r="AL966" t="s">
        <v>6801</v>
      </c>
      <c r="AM966">
        <v>24720</v>
      </c>
    </row>
    <row r="967" spans="1:42">
      <c r="A967" s="1">
        <f>HYPERLINK("https://lsnyc.legalserver.org/matter/dynamic-profile/view/1910634","19-1910634")</f>
        <v>0</v>
      </c>
      <c r="B967" t="s">
        <v>101</v>
      </c>
      <c r="C967" t="s">
        <v>177</v>
      </c>
      <c r="D967" t="s">
        <v>332</v>
      </c>
      <c r="E967" t="s">
        <v>1004</v>
      </c>
      <c r="F967" t="s">
        <v>404</v>
      </c>
      <c r="G967" t="s">
        <v>2855</v>
      </c>
      <c r="H967">
        <v>6</v>
      </c>
      <c r="I967" t="s">
        <v>3493</v>
      </c>
      <c r="J967">
        <v>10455</v>
      </c>
      <c r="K967" t="s">
        <v>3522</v>
      </c>
      <c r="L967" t="s">
        <v>3525</v>
      </c>
      <c r="M967" t="s">
        <v>3938</v>
      </c>
      <c r="N967" t="s">
        <v>4109</v>
      </c>
      <c r="O967" t="s">
        <v>4132</v>
      </c>
      <c r="P967" t="s">
        <v>4139</v>
      </c>
      <c r="Q967" t="s">
        <v>4147</v>
      </c>
      <c r="R967" t="s">
        <v>3523</v>
      </c>
      <c r="T967" t="s">
        <v>4156</v>
      </c>
      <c r="V967" t="s">
        <v>198</v>
      </c>
      <c r="W967">
        <v>897.15</v>
      </c>
      <c r="X967" t="s">
        <v>4194</v>
      </c>
      <c r="Y967" t="s">
        <v>4202</v>
      </c>
      <c r="Z967" t="s">
        <v>4486</v>
      </c>
      <c r="AB967" t="s">
        <v>6389</v>
      </c>
      <c r="AC967">
        <v>10</v>
      </c>
      <c r="AD967" t="s">
        <v>6772</v>
      </c>
      <c r="AF967">
        <v>9</v>
      </c>
      <c r="AG967">
        <v>2</v>
      </c>
      <c r="AH967">
        <v>0</v>
      </c>
      <c r="AI967">
        <v>146.37</v>
      </c>
      <c r="AL967" t="s">
        <v>6801</v>
      </c>
      <c r="AM967">
        <v>24752</v>
      </c>
    </row>
    <row r="968" spans="1:42">
      <c r="A968" s="1">
        <f>HYPERLINK("https://lsnyc.legalserver.org/matter/dynamic-profile/view/1909255","19-1909255")</f>
        <v>0</v>
      </c>
      <c r="B968" t="s">
        <v>61</v>
      </c>
      <c r="C968" t="s">
        <v>197</v>
      </c>
      <c r="D968" t="s">
        <v>237</v>
      </c>
      <c r="E968" t="s">
        <v>996</v>
      </c>
      <c r="F968" t="s">
        <v>1871</v>
      </c>
      <c r="G968" t="s">
        <v>2856</v>
      </c>
      <c r="H968">
        <v>2</v>
      </c>
      <c r="I968" t="s">
        <v>3490</v>
      </c>
      <c r="J968">
        <v>11233</v>
      </c>
      <c r="K968" t="s">
        <v>3522</v>
      </c>
      <c r="L968" t="s">
        <v>3525</v>
      </c>
      <c r="M968" t="s">
        <v>3562</v>
      </c>
      <c r="N968" t="s">
        <v>4108</v>
      </c>
      <c r="O968" t="s">
        <v>4132</v>
      </c>
      <c r="P968" t="s">
        <v>4139</v>
      </c>
      <c r="Q968" t="s">
        <v>4147</v>
      </c>
      <c r="R968" t="s">
        <v>3523</v>
      </c>
      <c r="T968" t="s">
        <v>4156</v>
      </c>
      <c r="U968" t="s">
        <v>4168</v>
      </c>
      <c r="V968" t="s">
        <v>313</v>
      </c>
      <c r="W968">
        <v>2450</v>
      </c>
      <c r="X968" t="s">
        <v>4193</v>
      </c>
      <c r="Y968" t="s">
        <v>4200</v>
      </c>
      <c r="Z968" t="s">
        <v>5049</v>
      </c>
      <c r="AA968" t="s">
        <v>3562</v>
      </c>
      <c r="AC968">
        <v>3</v>
      </c>
      <c r="AD968" t="s">
        <v>6771</v>
      </c>
      <c r="AE968" t="s">
        <v>3526</v>
      </c>
      <c r="AF968">
        <v>1</v>
      </c>
      <c r="AG968">
        <v>1</v>
      </c>
      <c r="AH968">
        <v>0</v>
      </c>
      <c r="AI968">
        <v>147.28</v>
      </c>
      <c r="AL968" t="s">
        <v>6801</v>
      </c>
      <c r="AM968">
        <v>18395</v>
      </c>
    </row>
    <row r="969" spans="1:42">
      <c r="A969" s="1">
        <f>HYPERLINK("https://lsnyc.legalserver.org/matter/dynamic-profile/view/1908540","19-1908540")</f>
        <v>0</v>
      </c>
      <c r="B969" t="s">
        <v>87</v>
      </c>
      <c r="C969" t="s">
        <v>224</v>
      </c>
      <c r="D969" t="s">
        <v>236</v>
      </c>
      <c r="E969" t="s">
        <v>1005</v>
      </c>
      <c r="F969" t="s">
        <v>1872</v>
      </c>
      <c r="G969" t="s">
        <v>2857</v>
      </c>
      <c r="H969" t="s">
        <v>3148</v>
      </c>
      <c r="I969" t="s">
        <v>3495</v>
      </c>
      <c r="J969">
        <v>10032</v>
      </c>
      <c r="K969" t="s">
        <v>3522</v>
      </c>
      <c r="L969" t="s">
        <v>3525</v>
      </c>
      <c r="N969" t="s">
        <v>3554</v>
      </c>
      <c r="O969" t="s">
        <v>4132</v>
      </c>
      <c r="P969" t="s">
        <v>4139</v>
      </c>
      <c r="Q969" t="s">
        <v>4147</v>
      </c>
      <c r="R969" t="s">
        <v>3523</v>
      </c>
      <c r="T969" t="s">
        <v>4156</v>
      </c>
      <c r="V969" t="s">
        <v>224</v>
      </c>
      <c r="W969">
        <v>1324.29</v>
      </c>
      <c r="X969" t="s">
        <v>4196</v>
      </c>
      <c r="Y969" t="s">
        <v>4206</v>
      </c>
      <c r="Z969" t="s">
        <v>5050</v>
      </c>
      <c r="AB969" t="s">
        <v>6390</v>
      </c>
      <c r="AC969">
        <v>49</v>
      </c>
      <c r="AD969" t="s">
        <v>6772</v>
      </c>
      <c r="AE969" t="s">
        <v>3526</v>
      </c>
      <c r="AF969">
        <v>25</v>
      </c>
      <c r="AG969">
        <v>1</v>
      </c>
      <c r="AH969">
        <v>0</v>
      </c>
      <c r="AI969">
        <v>147.57</v>
      </c>
      <c r="AL969" t="s">
        <v>6802</v>
      </c>
      <c r="AM969">
        <v>18432</v>
      </c>
    </row>
    <row r="970" spans="1:42">
      <c r="A970" s="1">
        <f>HYPERLINK("https://lsnyc.legalserver.org/matter/dynamic-profile/view/1917415","19-1917415")</f>
        <v>0</v>
      </c>
      <c r="B970" t="s">
        <v>98</v>
      </c>
      <c r="C970" t="s">
        <v>327</v>
      </c>
      <c r="E970" t="s">
        <v>586</v>
      </c>
      <c r="F970" t="s">
        <v>1759</v>
      </c>
      <c r="G970" t="s">
        <v>2858</v>
      </c>
      <c r="H970" t="s">
        <v>3385</v>
      </c>
      <c r="I970" t="s">
        <v>3488</v>
      </c>
      <c r="J970">
        <v>11355</v>
      </c>
      <c r="K970" t="s">
        <v>3522</v>
      </c>
      <c r="M970" t="s">
        <v>3939</v>
      </c>
      <c r="N970" t="s">
        <v>4109</v>
      </c>
      <c r="O970" t="s">
        <v>4136</v>
      </c>
      <c r="Q970" t="s">
        <v>4147</v>
      </c>
      <c r="R970" t="s">
        <v>3523</v>
      </c>
      <c r="T970" t="s">
        <v>4156</v>
      </c>
      <c r="U970" t="s">
        <v>4168</v>
      </c>
      <c r="V970" t="s">
        <v>327</v>
      </c>
      <c r="W970">
        <v>2195</v>
      </c>
      <c r="X970" t="s">
        <v>4192</v>
      </c>
      <c r="Y970" t="s">
        <v>4197</v>
      </c>
      <c r="Z970" t="s">
        <v>5051</v>
      </c>
      <c r="AB970" t="s">
        <v>6391</v>
      </c>
      <c r="AC970">
        <v>149</v>
      </c>
      <c r="AD970" t="s">
        <v>6772</v>
      </c>
      <c r="AE970" t="s">
        <v>3526</v>
      </c>
      <c r="AF970">
        <v>1</v>
      </c>
      <c r="AG970">
        <v>2</v>
      </c>
      <c r="AH970">
        <v>0</v>
      </c>
      <c r="AI970">
        <v>147.84</v>
      </c>
      <c r="AM970">
        <v>25000</v>
      </c>
    </row>
    <row r="971" spans="1:42">
      <c r="A971" s="1">
        <f>HYPERLINK("https://lsnyc.legalserver.org/matter/dynamic-profile/view/1909079","19-1909079")</f>
        <v>0</v>
      </c>
      <c r="B971" t="s">
        <v>93</v>
      </c>
      <c r="C971" t="s">
        <v>275</v>
      </c>
      <c r="E971" t="s">
        <v>1006</v>
      </c>
      <c r="F971" t="s">
        <v>1873</v>
      </c>
      <c r="G971" t="s">
        <v>2502</v>
      </c>
      <c r="H971" t="s">
        <v>3366</v>
      </c>
      <c r="I971" t="s">
        <v>3495</v>
      </c>
      <c r="J971">
        <v>10040</v>
      </c>
      <c r="K971" t="s">
        <v>3522</v>
      </c>
      <c r="L971" t="s">
        <v>3525</v>
      </c>
      <c r="N971" t="s">
        <v>4108</v>
      </c>
      <c r="O971" t="s">
        <v>4134</v>
      </c>
      <c r="Q971" t="s">
        <v>4147</v>
      </c>
      <c r="R971" t="s">
        <v>3522</v>
      </c>
      <c r="T971" t="s">
        <v>4156</v>
      </c>
      <c r="V971" t="s">
        <v>275</v>
      </c>
      <c r="W971">
        <v>2700</v>
      </c>
      <c r="X971" t="s">
        <v>4196</v>
      </c>
      <c r="Y971" t="s">
        <v>4205</v>
      </c>
      <c r="Z971" t="s">
        <v>5052</v>
      </c>
      <c r="AB971" t="s">
        <v>6392</v>
      </c>
      <c r="AC971">
        <v>77</v>
      </c>
      <c r="AD971" t="s">
        <v>6772</v>
      </c>
      <c r="AE971" t="s">
        <v>3526</v>
      </c>
      <c r="AF971">
        <v>5</v>
      </c>
      <c r="AG971">
        <v>2</v>
      </c>
      <c r="AH971">
        <v>0</v>
      </c>
      <c r="AI971">
        <v>147.84</v>
      </c>
      <c r="AL971" t="s">
        <v>6801</v>
      </c>
      <c r="AM971">
        <v>25000</v>
      </c>
    </row>
    <row r="972" spans="1:42">
      <c r="A972" s="1">
        <f>HYPERLINK("https://lsnyc.legalserver.org/matter/dynamic-profile/view/1910056","19-1910056")</f>
        <v>0</v>
      </c>
      <c r="B972" t="s">
        <v>89</v>
      </c>
      <c r="C972" t="s">
        <v>230</v>
      </c>
      <c r="E972" t="s">
        <v>814</v>
      </c>
      <c r="F972" t="s">
        <v>1073</v>
      </c>
      <c r="G972" t="s">
        <v>2431</v>
      </c>
      <c r="I972" t="s">
        <v>3495</v>
      </c>
      <c r="J972">
        <v>10033</v>
      </c>
      <c r="K972" t="s">
        <v>3522</v>
      </c>
      <c r="L972" t="s">
        <v>3525</v>
      </c>
      <c r="N972" t="s">
        <v>4108</v>
      </c>
      <c r="O972" t="s">
        <v>4134</v>
      </c>
      <c r="Q972" t="s">
        <v>4147</v>
      </c>
      <c r="R972" t="s">
        <v>3522</v>
      </c>
      <c r="T972" t="s">
        <v>4156</v>
      </c>
      <c r="V972" t="s">
        <v>230</v>
      </c>
      <c r="W972">
        <v>0</v>
      </c>
      <c r="X972" t="s">
        <v>4196</v>
      </c>
      <c r="Y972" t="s">
        <v>4205</v>
      </c>
      <c r="Z972" t="s">
        <v>5053</v>
      </c>
      <c r="AB972" t="s">
        <v>6393</v>
      </c>
      <c r="AC972">
        <v>20</v>
      </c>
      <c r="AD972" t="s">
        <v>6772</v>
      </c>
      <c r="AE972" t="s">
        <v>3526</v>
      </c>
      <c r="AF972">
        <v>0</v>
      </c>
      <c r="AG972">
        <v>2</v>
      </c>
      <c r="AH972">
        <v>0</v>
      </c>
      <c r="AI972">
        <v>147.89</v>
      </c>
      <c r="AL972" t="s">
        <v>6801</v>
      </c>
      <c r="AM972">
        <v>25008</v>
      </c>
    </row>
    <row r="973" spans="1:42">
      <c r="A973" s="1">
        <f>HYPERLINK("https://lsnyc.legalserver.org/matter/dynamic-profile/view/1904433","19-1904433")</f>
        <v>0</v>
      </c>
      <c r="B973" t="s">
        <v>120</v>
      </c>
      <c r="C973" t="s">
        <v>293</v>
      </c>
      <c r="E973" t="s">
        <v>1007</v>
      </c>
      <c r="F973" t="s">
        <v>1874</v>
      </c>
      <c r="G973" t="s">
        <v>2859</v>
      </c>
      <c r="I973" t="s">
        <v>3494</v>
      </c>
      <c r="J973">
        <v>10306</v>
      </c>
      <c r="K973" t="s">
        <v>3522</v>
      </c>
      <c r="L973" t="s">
        <v>3525</v>
      </c>
      <c r="M973" t="s">
        <v>3940</v>
      </c>
      <c r="N973" t="s">
        <v>4107</v>
      </c>
      <c r="O973" t="s">
        <v>4134</v>
      </c>
      <c r="Q973" t="s">
        <v>4147</v>
      </c>
      <c r="R973" t="s">
        <v>3523</v>
      </c>
      <c r="T973" t="s">
        <v>4156</v>
      </c>
      <c r="U973" t="s">
        <v>4168</v>
      </c>
      <c r="V973" t="s">
        <v>272</v>
      </c>
      <c r="W973">
        <v>0</v>
      </c>
      <c r="X973" t="s">
        <v>4195</v>
      </c>
      <c r="Y973" t="s">
        <v>4205</v>
      </c>
      <c r="Z973" t="s">
        <v>5054</v>
      </c>
      <c r="AB973" t="s">
        <v>6394</v>
      </c>
      <c r="AC973">
        <v>1</v>
      </c>
      <c r="AD973" t="s">
        <v>6771</v>
      </c>
      <c r="AF973">
        <v>15</v>
      </c>
      <c r="AG973">
        <v>3</v>
      </c>
      <c r="AH973">
        <v>0</v>
      </c>
      <c r="AI973">
        <v>148.86</v>
      </c>
      <c r="AL973" t="s">
        <v>6801</v>
      </c>
      <c r="AM973">
        <v>31752</v>
      </c>
    </row>
    <row r="974" spans="1:42">
      <c r="A974" s="1">
        <f>HYPERLINK("https://lsnyc.legalserver.org/matter/dynamic-profile/view/1906460","19-1906460")</f>
        <v>0</v>
      </c>
      <c r="B974" t="s">
        <v>76</v>
      </c>
      <c r="C974" t="s">
        <v>211</v>
      </c>
      <c r="D974" t="s">
        <v>211</v>
      </c>
      <c r="E974" t="s">
        <v>389</v>
      </c>
      <c r="F974" t="s">
        <v>1875</v>
      </c>
      <c r="G974" t="s">
        <v>2860</v>
      </c>
      <c r="I974" t="s">
        <v>3493</v>
      </c>
      <c r="J974">
        <v>10452</v>
      </c>
      <c r="K974" t="s">
        <v>3522</v>
      </c>
      <c r="L974" t="s">
        <v>3526</v>
      </c>
      <c r="N974" t="s">
        <v>3554</v>
      </c>
      <c r="O974" t="s">
        <v>4132</v>
      </c>
      <c r="P974" t="s">
        <v>4139</v>
      </c>
      <c r="Q974" t="s">
        <v>4147</v>
      </c>
      <c r="R974" t="s">
        <v>3523</v>
      </c>
      <c r="T974" t="s">
        <v>4156</v>
      </c>
      <c r="V974" t="s">
        <v>225</v>
      </c>
      <c r="W974">
        <v>0</v>
      </c>
      <c r="X974" t="s">
        <v>4194</v>
      </c>
      <c r="Z974" t="s">
        <v>5055</v>
      </c>
      <c r="AB974" t="s">
        <v>6395</v>
      </c>
      <c r="AC974">
        <v>0</v>
      </c>
      <c r="AF974">
        <v>0</v>
      </c>
      <c r="AG974">
        <v>3</v>
      </c>
      <c r="AH974">
        <v>1</v>
      </c>
      <c r="AI974">
        <v>149.13</v>
      </c>
      <c r="AL974" t="s">
        <v>6802</v>
      </c>
      <c r="AM974">
        <v>38400</v>
      </c>
      <c r="AN974" t="s">
        <v>6864</v>
      </c>
    </row>
    <row r="975" spans="1:42">
      <c r="A975" s="1">
        <f>HYPERLINK("https://lsnyc.legalserver.org/matter/dynamic-profile/view/1905070","19-1905070")</f>
        <v>0</v>
      </c>
      <c r="B975" t="s">
        <v>47</v>
      </c>
      <c r="C975" t="s">
        <v>216</v>
      </c>
      <c r="E975" t="s">
        <v>694</v>
      </c>
      <c r="F975" t="s">
        <v>1404</v>
      </c>
      <c r="G975" t="s">
        <v>2861</v>
      </c>
      <c r="H975" t="s">
        <v>3141</v>
      </c>
      <c r="I975" t="s">
        <v>3516</v>
      </c>
      <c r="J975">
        <v>11372</v>
      </c>
      <c r="K975" t="s">
        <v>3522</v>
      </c>
      <c r="L975" t="s">
        <v>3525</v>
      </c>
      <c r="M975" t="s">
        <v>3941</v>
      </c>
      <c r="N975" t="s">
        <v>4109</v>
      </c>
      <c r="O975" t="s">
        <v>4134</v>
      </c>
      <c r="Q975" t="s">
        <v>4147</v>
      </c>
      <c r="R975" t="s">
        <v>3523</v>
      </c>
      <c r="T975" t="s">
        <v>4156</v>
      </c>
      <c r="U975" t="s">
        <v>4169</v>
      </c>
      <c r="V975" t="s">
        <v>216</v>
      </c>
      <c r="W975">
        <v>1760</v>
      </c>
      <c r="X975" t="s">
        <v>4192</v>
      </c>
      <c r="Y975" t="s">
        <v>4201</v>
      </c>
      <c r="Z975" t="s">
        <v>5056</v>
      </c>
      <c r="AA975" t="s">
        <v>5482</v>
      </c>
      <c r="AB975" t="s">
        <v>6396</v>
      </c>
      <c r="AC975">
        <v>16</v>
      </c>
      <c r="AD975" t="s">
        <v>5524</v>
      </c>
      <c r="AE975" t="s">
        <v>3526</v>
      </c>
      <c r="AF975">
        <v>5</v>
      </c>
      <c r="AG975">
        <v>2</v>
      </c>
      <c r="AH975">
        <v>2</v>
      </c>
      <c r="AI975">
        <v>149.44</v>
      </c>
      <c r="AL975" t="s">
        <v>6801</v>
      </c>
      <c r="AM975">
        <v>38480</v>
      </c>
      <c r="AP975" t="s">
        <v>4200</v>
      </c>
    </row>
    <row r="976" spans="1:42">
      <c r="A976" s="1">
        <f>HYPERLINK("https://lsnyc.legalserver.org/matter/dynamic-profile/view/1898702","19-1898702")</f>
        <v>0</v>
      </c>
      <c r="B976" t="s">
        <v>55</v>
      </c>
      <c r="C976" t="s">
        <v>355</v>
      </c>
      <c r="D976" t="s">
        <v>312</v>
      </c>
      <c r="E976" t="s">
        <v>1008</v>
      </c>
      <c r="F976" t="s">
        <v>1327</v>
      </c>
      <c r="G976" t="s">
        <v>2862</v>
      </c>
      <c r="H976">
        <v>1</v>
      </c>
      <c r="I976" t="s">
        <v>3490</v>
      </c>
      <c r="J976">
        <v>11207</v>
      </c>
      <c r="K976" t="s">
        <v>3522</v>
      </c>
      <c r="L976" t="s">
        <v>3525</v>
      </c>
      <c r="M976" t="s">
        <v>3554</v>
      </c>
      <c r="N976" t="s">
        <v>4113</v>
      </c>
      <c r="O976" t="s">
        <v>4132</v>
      </c>
      <c r="P976" t="s">
        <v>4139</v>
      </c>
      <c r="Q976" t="s">
        <v>4147</v>
      </c>
      <c r="R976" t="s">
        <v>3523</v>
      </c>
      <c r="T976" t="s">
        <v>4156</v>
      </c>
      <c r="U976" t="s">
        <v>4168</v>
      </c>
      <c r="V976" t="s">
        <v>336</v>
      </c>
      <c r="W976">
        <v>870</v>
      </c>
      <c r="X976" t="s">
        <v>4193</v>
      </c>
      <c r="Y976" t="s">
        <v>4206</v>
      </c>
      <c r="Z976" t="s">
        <v>5057</v>
      </c>
      <c r="AC976">
        <v>2</v>
      </c>
      <c r="AD976" t="s">
        <v>6771</v>
      </c>
      <c r="AE976" t="s">
        <v>3526</v>
      </c>
      <c r="AF976">
        <v>2</v>
      </c>
      <c r="AG976">
        <v>3</v>
      </c>
      <c r="AH976">
        <v>1</v>
      </c>
      <c r="AI976">
        <v>149.44</v>
      </c>
      <c r="AL976" t="s">
        <v>6802</v>
      </c>
      <c r="AM976">
        <v>38480</v>
      </c>
    </row>
    <row r="977" spans="1:44">
      <c r="A977" s="1">
        <f>HYPERLINK("https://lsnyc.legalserver.org/matter/dynamic-profile/view/1912381","19-1912381")</f>
        <v>0</v>
      </c>
      <c r="B977" t="s">
        <v>69</v>
      </c>
      <c r="C977" t="s">
        <v>202</v>
      </c>
      <c r="E977" t="s">
        <v>1009</v>
      </c>
      <c r="F977" t="s">
        <v>1695</v>
      </c>
      <c r="G977" t="s">
        <v>2189</v>
      </c>
      <c r="H977" t="s">
        <v>3386</v>
      </c>
      <c r="I977" t="s">
        <v>3490</v>
      </c>
      <c r="J977">
        <v>11233</v>
      </c>
      <c r="K977" t="s">
        <v>3522</v>
      </c>
      <c r="L977" t="s">
        <v>3525</v>
      </c>
      <c r="M977" t="s">
        <v>3942</v>
      </c>
      <c r="N977" t="s">
        <v>4109</v>
      </c>
      <c r="O977" t="s">
        <v>4136</v>
      </c>
      <c r="Q977" t="s">
        <v>4147</v>
      </c>
      <c r="R977" t="s">
        <v>3523</v>
      </c>
      <c r="T977" t="s">
        <v>4156</v>
      </c>
      <c r="V977" t="s">
        <v>269</v>
      </c>
      <c r="W977">
        <v>1375</v>
      </c>
      <c r="X977" t="s">
        <v>4193</v>
      </c>
      <c r="Y977" t="s">
        <v>4201</v>
      </c>
      <c r="Z977" t="s">
        <v>5058</v>
      </c>
      <c r="AA977" t="s">
        <v>5631</v>
      </c>
      <c r="AC977">
        <v>359</v>
      </c>
      <c r="AD977" t="s">
        <v>6772</v>
      </c>
      <c r="AE977" t="s">
        <v>6790</v>
      </c>
      <c r="AF977">
        <v>10</v>
      </c>
      <c r="AG977">
        <v>2</v>
      </c>
      <c r="AH977">
        <v>0</v>
      </c>
      <c r="AI977">
        <v>149.66</v>
      </c>
      <c r="AL977" t="s">
        <v>6801</v>
      </c>
      <c r="AM977">
        <v>25308</v>
      </c>
    </row>
    <row r="978" spans="1:44">
      <c r="A978" s="1">
        <f>HYPERLINK("https://lsnyc.legalserver.org/matter/dynamic-profile/view/1904645","19-1904645")</f>
        <v>0</v>
      </c>
      <c r="B978" t="s">
        <v>154</v>
      </c>
      <c r="C978" t="s">
        <v>246</v>
      </c>
      <c r="D978" t="s">
        <v>313</v>
      </c>
      <c r="E978" t="s">
        <v>1010</v>
      </c>
      <c r="F978" t="s">
        <v>1876</v>
      </c>
      <c r="G978" t="s">
        <v>2863</v>
      </c>
      <c r="H978">
        <v>10</v>
      </c>
      <c r="I978" t="s">
        <v>3495</v>
      </c>
      <c r="J978">
        <v>10003</v>
      </c>
      <c r="K978" t="s">
        <v>3522</v>
      </c>
      <c r="L978" t="s">
        <v>3525</v>
      </c>
      <c r="M978" t="s">
        <v>3943</v>
      </c>
      <c r="N978" t="s">
        <v>4109</v>
      </c>
      <c r="O978" t="s">
        <v>4132</v>
      </c>
      <c r="P978" t="s">
        <v>4139</v>
      </c>
      <c r="Q978" t="s">
        <v>4147</v>
      </c>
      <c r="R978" t="s">
        <v>3523</v>
      </c>
      <c r="T978" t="s">
        <v>4156</v>
      </c>
      <c r="V978" t="s">
        <v>246</v>
      </c>
      <c r="W978">
        <v>651.63</v>
      </c>
      <c r="X978" t="s">
        <v>4196</v>
      </c>
      <c r="Y978" t="s">
        <v>4197</v>
      </c>
      <c r="Z978" t="s">
        <v>5059</v>
      </c>
      <c r="AB978" t="s">
        <v>6397</v>
      </c>
      <c r="AC978">
        <v>15</v>
      </c>
      <c r="AD978" t="s">
        <v>6772</v>
      </c>
      <c r="AE978" t="s">
        <v>6791</v>
      </c>
      <c r="AF978">
        <v>43</v>
      </c>
      <c r="AG978">
        <v>1</v>
      </c>
      <c r="AH978">
        <v>0</v>
      </c>
      <c r="AI978">
        <v>149.93</v>
      </c>
      <c r="AL978" t="s">
        <v>6801</v>
      </c>
      <c r="AM978">
        <v>18726</v>
      </c>
    </row>
    <row r="979" spans="1:44">
      <c r="A979" s="1">
        <f>HYPERLINK("https://lsnyc.legalserver.org/matter/dynamic-profile/view/1910267","19-1910267")</f>
        <v>0</v>
      </c>
      <c r="B979" t="s">
        <v>64</v>
      </c>
      <c r="C979" t="s">
        <v>233</v>
      </c>
      <c r="E979" t="s">
        <v>389</v>
      </c>
      <c r="F979" t="s">
        <v>1877</v>
      </c>
      <c r="G979" t="s">
        <v>2864</v>
      </c>
      <c r="H979" t="s">
        <v>3170</v>
      </c>
      <c r="I979" t="s">
        <v>3490</v>
      </c>
      <c r="J979">
        <v>11225</v>
      </c>
      <c r="K979" t="s">
        <v>3522</v>
      </c>
      <c r="L979" t="s">
        <v>3525</v>
      </c>
      <c r="O979" t="s">
        <v>4137</v>
      </c>
      <c r="Q979" t="s">
        <v>4147</v>
      </c>
      <c r="R979" t="s">
        <v>3522</v>
      </c>
      <c r="T979" t="s">
        <v>4156</v>
      </c>
      <c r="V979" t="s">
        <v>233</v>
      </c>
      <c r="W979">
        <v>813.54</v>
      </c>
      <c r="X979" t="s">
        <v>4193</v>
      </c>
      <c r="Z979" t="s">
        <v>5060</v>
      </c>
      <c r="AB979" t="s">
        <v>6398</v>
      </c>
      <c r="AC979">
        <v>8</v>
      </c>
      <c r="AF979">
        <v>26</v>
      </c>
      <c r="AG979">
        <v>3</v>
      </c>
      <c r="AH979">
        <v>0</v>
      </c>
      <c r="AI979">
        <v>150.02</v>
      </c>
      <c r="AL979" t="s">
        <v>6801</v>
      </c>
      <c r="AM979">
        <v>32000</v>
      </c>
    </row>
    <row r="980" spans="1:44">
      <c r="A980" s="1">
        <f>HYPERLINK("https://lsnyc.legalserver.org/matter/dynamic-profile/view/1915063","19-1915063")</f>
        <v>0</v>
      </c>
      <c r="B980" t="s">
        <v>64</v>
      </c>
      <c r="C980" t="s">
        <v>219</v>
      </c>
      <c r="E980" t="s">
        <v>389</v>
      </c>
      <c r="F980" t="s">
        <v>1877</v>
      </c>
      <c r="G980" t="s">
        <v>2864</v>
      </c>
      <c r="H980" t="s">
        <v>3170</v>
      </c>
      <c r="I980" t="s">
        <v>3490</v>
      </c>
      <c r="J980">
        <v>11225</v>
      </c>
      <c r="K980" t="s">
        <v>3522</v>
      </c>
      <c r="L980" t="s">
        <v>3525</v>
      </c>
      <c r="O980" t="s">
        <v>4134</v>
      </c>
      <c r="Q980" t="s">
        <v>4147</v>
      </c>
      <c r="R980" t="s">
        <v>3522</v>
      </c>
      <c r="T980" t="s">
        <v>4156</v>
      </c>
      <c r="V980" t="s">
        <v>233</v>
      </c>
      <c r="W980">
        <v>0</v>
      </c>
      <c r="X980" t="s">
        <v>4193</v>
      </c>
      <c r="Z980" t="s">
        <v>5060</v>
      </c>
      <c r="AB980" t="s">
        <v>6398</v>
      </c>
      <c r="AC980">
        <v>8</v>
      </c>
      <c r="AF980">
        <v>0</v>
      </c>
      <c r="AG980">
        <v>3</v>
      </c>
      <c r="AH980">
        <v>0</v>
      </c>
      <c r="AI980">
        <v>150.02</v>
      </c>
      <c r="AL980" t="s">
        <v>6801</v>
      </c>
      <c r="AM980">
        <v>32000</v>
      </c>
    </row>
    <row r="981" spans="1:44">
      <c r="A981" s="1">
        <f>HYPERLINK("https://lsnyc.legalserver.org/matter/dynamic-profile/view/1917221","19-1917221")</f>
        <v>0</v>
      </c>
      <c r="B981" t="s">
        <v>85</v>
      </c>
      <c r="C981" t="s">
        <v>327</v>
      </c>
      <c r="E981" t="s">
        <v>1011</v>
      </c>
      <c r="F981" t="s">
        <v>1878</v>
      </c>
      <c r="G981" t="s">
        <v>2550</v>
      </c>
      <c r="H981" t="s">
        <v>3219</v>
      </c>
      <c r="I981" t="s">
        <v>3494</v>
      </c>
      <c r="J981">
        <v>10304</v>
      </c>
      <c r="K981" t="s">
        <v>3522</v>
      </c>
      <c r="L981" t="s">
        <v>3525</v>
      </c>
      <c r="M981" t="s">
        <v>3789</v>
      </c>
      <c r="N981" t="s">
        <v>4108</v>
      </c>
      <c r="Q981" t="s">
        <v>4147</v>
      </c>
      <c r="R981" t="s">
        <v>3522</v>
      </c>
      <c r="T981" t="s">
        <v>4161</v>
      </c>
      <c r="V981" t="s">
        <v>332</v>
      </c>
      <c r="W981">
        <v>0</v>
      </c>
      <c r="X981" t="s">
        <v>4195</v>
      </c>
      <c r="Y981" t="s">
        <v>4201</v>
      </c>
      <c r="Z981" t="s">
        <v>5061</v>
      </c>
      <c r="AB981" t="s">
        <v>6399</v>
      </c>
      <c r="AC981">
        <v>1600</v>
      </c>
      <c r="AE981" t="s">
        <v>6789</v>
      </c>
      <c r="AF981">
        <v>5</v>
      </c>
      <c r="AG981">
        <v>1</v>
      </c>
      <c r="AH981">
        <v>2</v>
      </c>
      <c r="AI981">
        <v>150.02</v>
      </c>
      <c r="AM981">
        <v>32000</v>
      </c>
    </row>
    <row r="982" spans="1:44">
      <c r="A982" s="1">
        <f>HYPERLINK("https://lsnyc.legalserver.org/matter/dynamic-profile/view/1904610","19-1904610")</f>
        <v>0</v>
      </c>
      <c r="B982" t="s">
        <v>76</v>
      </c>
      <c r="C982" t="s">
        <v>313</v>
      </c>
      <c r="D982" t="s">
        <v>313</v>
      </c>
      <c r="E982" t="s">
        <v>1012</v>
      </c>
      <c r="F982" t="s">
        <v>1879</v>
      </c>
      <c r="G982" t="s">
        <v>2865</v>
      </c>
      <c r="I982" t="s">
        <v>3493</v>
      </c>
      <c r="J982">
        <v>10467</v>
      </c>
      <c r="K982" t="s">
        <v>3522</v>
      </c>
      <c r="L982" t="s">
        <v>3525</v>
      </c>
      <c r="N982" t="s">
        <v>3554</v>
      </c>
      <c r="O982" t="s">
        <v>4135</v>
      </c>
      <c r="P982" t="s">
        <v>4142</v>
      </c>
      <c r="Q982" t="s">
        <v>4147</v>
      </c>
      <c r="R982" t="s">
        <v>3523</v>
      </c>
      <c r="T982" t="s">
        <v>4159</v>
      </c>
      <c r="V982" t="s">
        <v>241</v>
      </c>
      <c r="W982">
        <v>1254.43</v>
      </c>
      <c r="X982" t="s">
        <v>4194</v>
      </c>
      <c r="Y982" t="s">
        <v>4198</v>
      </c>
      <c r="Z982" t="s">
        <v>5062</v>
      </c>
      <c r="AB982" t="s">
        <v>6400</v>
      </c>
      <c r="AC982">
        <v>0</v>
      </c>
      <c r="AD982" t="s">
        <v>6772</v>
      </c>
      <c r="AE982" t="s">
        <v>3526</v>
      </c>
      <c r="AF982">
        <v>13</v>
      </c>
      <c r="AG982">
        <v>1</v>
      </c>
      <c r="AH982">
        <v>0</v>
      </c>
      <c r="AI982">
        <v>150.36</v>
      </c>
      <c r="AL982" t="s">
        <v>6802</v>
      </c>
      <c r="AM982">
        <v>18780</v>
      </c>
    </row>
    <row r="983" spans="1:44">
      <c r="A983" s="1">
        <f>HYPERLINK("https://lsnyc.legalserver.org/matter/dynamic-profile/view/1910629","19-1910629")</f>
        <v>0</v>
      </c>
      <c r="B983" t="s">
        <v>101</v>
      </c>
      <c r="C983" t="s">
        <v>177</v>
      </c>
      <c r="D983" t="s">
        <v>332</v>
      </c>
      <c r="E983" t="s">
        <v>1013</v>
      </c>
      <c r="F983" t="s">
        <v>1839</v>
      </c>
      <c r="G983" t="s">
        <v>2866</v>
      </c>
      <c r="H983" t="s">
        <v>3330</v>
      </c>
      <c r="I983" t="s">
        <v>3493</v>
      </c>
      <c r="J983">
        <v>10451</v>
      </c>
      <c r="K983" t="s">
        <v>3522</v>
      </c>
      <c r="L983" t="s">
        <v>3525</v>
      </c>
      <c r="N983" t="s">
        <v>3554</v>
      </c>
      <c r="O983" t="s">
        <v>4133</v>
      </c>
      <c r="P983" t="s">
        <v>4142</v>
      </c>
      <c r="Q983" t="s">
        <v>4147</v>
      </c>
      <c r="R983" t="s">
        <v>3523</v>
      </c>
      <c r="T983" t="s">
        <v>4156</v>
      </c>
      <c r="V983" t="s">
        <v>177</v>
      </c>
      <c r="W983">
        <v>1268.42</v>
      </c>
      <c r="X983" t="s">
        <v>4194</v>
      </c>
      <c r="Y983" t="s">
        <v>4214</v>
      </c>
      <c r="Z983" t="s">
        <v>5063</v>
      </c>
      <c r="AC983">
        <v>312</v>
      </c>
      <c r="AD983" t="s">
        <v>6775</v>
      </c>
      <c r="AE983" t="s">
        <v>3526</v>
      </c>
      <c r="AF983">
        <v>24</v>
      </c>
      <c r="AG983">
        <v>2</v>
      </c>
      <c r="AH983">
        <v>0</v>
      </c>
      <c r="AI983">
        <v>151.15</v>
      </c>
      <c r="AL983" t="s">
        <v>6801</v>
      </c>
      <c r="AM983">
        <v>25560</v>
      </c>
    </row>
    <row r="984" spans="1:44">
      <c r="A984" s="1">
        <f>HYPERLINK("https://lsnyc.legalserver.org/matter/dynamic-profile/view/1911000","19-1911000")</f>
        <v>0</v>
      </c>
      <c r="B984" t="s">
        <v>111</v>
      </c>
      <c r="C984" t="s">
        <v>270</v>
      </c>
      <c r="D984" t="s">
        <v>237</v>
      </c>
      <c r="E984" t="s">
        <v>1014</v>
      </c>
      <c r="F984" t="s">
        <v>1880</v>
      </c>
      <c r="G984" t="s">
        <v>2195</v>
      </c>
      <c r="I984" t="s">
        <v>3490</v>
      </c>
      <c r="J984">
        <v>11233</v>
      </c>
      <c r="K984" t="s">
        <v>3522</v>
      </c>
      <c r="L984" t="s">
        <v>3525</v>
      </c>
      <c r="N984" t="s">
        <v>4123</v>
      </c>
      <c r="O984" t="s">
        <v>4132</v>
      </c>
      <c r="P984" t="s">
        <v>4139</v>
      </c>
      <c r="Q984" t="s">
        <v>4147</v>
      </c>
      <c r="R984" t="s">
        <v>3523</v>
      </c>
      <c r="T984" t="s">
        <v>4156</v>
      </c>
      <c r="U984" t="s">
        <v>4168</v>
      </c>
      <c r="V984" t="s">
        <v>212</v>
      </c>
      <c r="W984">
        <v>1400</v>
      </c>
      <c r="X984" t="s">
        <v>4193</v>
      </c>
      <c r="Y984" t="s">
        <v>4201</v>
      </c>
      <c r="Z984" t="s">
        <v>5064</v>
      </c>
      <c r="AA984" t="s">
        <v>3526</v>
      </c>
      <c r="AB984" t="s">
        <v>6401</v>
      </c>
      <c r="AC984">
        <v>359</v>
      </c>
      <c r="AD984" t="s">
        <v>6772</v>
      </c>
      <c r="AF984">
        <v>7</v>
      </c>
      <c r="AG984">
        <v>2</v>
      </c>
      <c r="AH984">
        <v>2</v>
      </c>
      <c r="AI984">
        <v>151.46</v>
      </c>
      <c r="AL984" t="s">
        <v>6801</v>
      </c>
      <c r="AM984">
        <v>39000</v>
      </c>
    </row>
    <row r="985" spans="1:44">
      <c r="A985" s="1">
        <f>HYPERLINK("https://lsnyc.legalserver.org/matter/dynamic-profile/view/1914604","19-1914604")</f>
        <v>0</v>
      </c>
      <c r="B985" t="s">
        <v>91</v>
      </c>
      <c r="C985" t="s">
        <v>269</v>
      </c>
      <c r="E985" t="s">
        <v>1015</v>
      </c>
      <c r="F985" t="s">
        <v>1373</v>
      </c>
      <c r="G985" t="s">
        <v>2332</v>
      </c>
      <c r="H985">
        <v>412</v>
      </c>
      <c r="I985" t="s">
        <v>3495</v>
      </c>
      <c r="J985">
        <v>10029</v>
      </c>
      <c r="K985" t="s">
        <v>3522</v>
      </c>
      <c r="L985" t="s">
        <v>3525</v>
      </c>
      <c r="N985" t="s">
        <v>4108</v>
      </c>
      <c r="O985" t="s">
        <v>4136</v>
      </c>
      <c r="Q985" t="s">
        <v>4147</v>
      </c>
      <c r="R985" t="s">
        <v>3522</v>
      </c>
      <c r="T985" t="s">
        <v>4156</v>
      </c>
      <c r="U985" t="s">
        <v>4168</v>
      </c>
      <c r="V985" t="s">
        <v>245</v>
      </c>
      <c r="W985">
        <v>463</v>
      </c>
      <c r="X985" t="s">
        <v>4196</v>
      </c>
      <c r="Y985" t="s">
        <v>4198</v>
      </c>
      <c r="Z985" t="s">
        <v>5065</v>
      </c>
      <c r="AB985" t="s">
        <v>6402</v>
      </c>
      <c r="AC985">
        <v>135</v>
      </c>
      <c r="AD985" t="s">
        <v>6772</v>
      </c>
      <c r="AE985" t="s">
        <v>3526</v>
      </c>
      <c r="AF985">
        <v>35</v>
      </c>
      <c r="AG985">
        <v>4</v>
      </c>
      <c r="AH985">
        <v>0</v>
      </c>
      <c r="AI985">
        <v>151.46</v>
      </c>
      <c r="AL985" t="s">
        <v>6801</v>
      </c>
      <c r="AM985">
        <v>39000</v>
      </c>
    </row>
    <row r="986" spans="1:44">
      <c r="A986" s="1">
        <f>HYPERLINK("https://lsnyc.legalserver.org/matter/dynamic-profile/view/1903131","19-1903131")</f>
        <v>0</v>
      </c>
      <c r="B986" t="s">
        <v>60</v>
      </c>
      <c r="C986" t="s">
        <v>356</v>
      </c>
      <c r="E986" t="s">
        <v>1016</v>
      </c>
      <c r="F986" t="s">
        <v>1881</v>
      </c>
      <c r="G986" t="s">
        <v>2867</v>
      </c>
      <c r="H986" t="s">
        <v>3159</v>
      </c>
      <c r="I986" t="s">
        <v>3490</v>
      </c>
      <c r="J986">
        <v>11212</v>
      </c>
      <c r="K986" t="s">
        <v>3522</v>
      </c>
      <c r="L986" t="s">
        <v>3527</v>
      </c>
      <c r="M986" t="s">
        <v>3944</v>
      </c>
      <c r="N986" t="s">
        <v>4109</v>
      </c>
      <c r="O986" t="s">
        <v>4134</v>
      </c>
      <c r="Q986" t="s">
        <v>4147</v>
      </c>
      <c r="R986" t="s">
        <v>3523</v>
      </c>
      <c r="T986" t="s">
        <v>4156</v>
      </c>
      <c r="U986" t="s">
        <v>4168</v>
      </c>
      <c r="V986" t="s">
        <v>259</v>
      </c>
      <c r="W986">
        <v>1235</v>
      </c>
      <c r="X986" t="s">
        <v>4193</v>
      </c>
      <c r="Y986" t="s">
        <v>4205</v>
      </c>
      <c r="Z986" t="s">
        <v>5066</v>
      </c>
      <c r="AA986" t="s">
        <v>5632</v>
      </c>
      <c r="AC986">
        <v>4</v>
      </c>
      <c r="AD986" t="s">
        <v>6771</v>
      </c>
      <c r="AE986" t="s">
        <v>6792</v>
      </c>
      <c r="AF986">
        <v>30</v>
      </c>
      <c r="AG986">
        <v>1</v>
      </c>
      <c r="AH986">
        <v>0</v>
      </c>
      <c r="AI986">
        <v>151.8</v>
      </c>
      <c r="AL986" t="s">
        <v>6801</v>
      </c>
      <c r="AM986">
        <v>18960</v>
      </c>
    </row>
    <row r="987" spans="1:44">
      <c r="A987" s="1">
        <f>HYPERLINK("https://lsnyc.legalserver.org/matter/dynamic-profile/view/1911047","19-1911047")</f>
        <v>0</v>
      </c>
      <c r="B987" t="s">
        <v>53</v>
      </c>
      <c r="C987" t="s">
        <v>270</v>
      </c>
      <c r="E987" t="s">
        <v>1017</v>
      </c>
      <c r="F987" t="s">
        <v>1882</v>
      </c>
      <c r="G987" t="s">
        <v>2187</v>
      </c>
      <c r="H987" t="s">
        <v>3387</v>
      </c>
      <c r="I987" t="s">
        <v>3490</v>
      </c>
      <c r="J987">
        <v>11238</v>
      </c>
      <c r="K987" t="s">
        <v>3522</v>
      </c>
      <c r="L987" t="s">
        <v>3525</v>
      </c>
      <c r="M987" t="s">
        <v>3945</v>
      </c>
      <c r="N987" t="s">
        <v>4109</v>
      </c>
      <c r="O987" t="s">
        <v>4134</v>
      </c>
      <c r="Q987" t="s">
        <v>4147</v>
      </c>
      <c r="R987" t="s">
        <v>3522</v>
      </c>
      <c r="T987" t="s">
        <v>4156</v>
      </c>
      <c r="U987" t="s">
        <v>4168</v>
      </c>
      <c r="V987" t="s">
        <v>270</v>
      </c>
      <c r="W987">
        <v>283.57</v>
      </c>
      <c r="X987" t="s">
        <v>4193</v>
      </c>
      <c r="Y987" t="s">
        <v>4202</v>
      </c>
      <c r="Z987" t="s">
        <v>5067</v>
      </c>
      <c r="AC987">
        <v>38</v>
      </c>
      <c r="AD987" t="s">
        <v>6780</v>
      </c>
      <c r="AE987" t="s">
        <v>3526</v>
      </c>
      <c r="AF987">
        <v>49</v>
      </c>
      <c r="AG987">
        <v>1</v>
      </c>
      <c r="AH987">
        <v>0</v>
      </c>
      <c r="AI987">
        <v>151.96</v>
      </c>
      <c r="AL987" t="s">
        <v>6801</v>
      </c>
      <c r="AM987">
        <v>18980</v>
      </c>
    </row>
    <row r="988" spans="1:44">
      <c r="A988" s="1">
        <f>HYPERLINK("https://lsnyc.legalserver.org/matter/dynamic-profile/view/1915004","19-1915004")</f>
        <v>0</v>
      </c>
      <c r="B988" t="s">
        <v>104</v>
      </c>
      <c r="C988" t="s">
        <v>253</v>
      </c>
      <c r="D988" t="s">
        <v>204</v>
      </c>
      <c r="E988" t="s">
        <v>1018</v>
      </c>
      <c r="F988" t="s">
        <v>1883</v>
      </c>
      <c r="G988" t="s">
        <v>2868</v>
      </c>
      <c r="H988" t="s">
        <v>3157</v>
      </c>
      <c r="I988" t="s">
        <v>3493</v>
      </c>
      <c r="J988">
        <v>10456</v>
      </c>
      <c r="K988" t="s">
        <v>3522</v>
      </c>
      <c r="L988" t="s">
        <v>3525</v>
      </c>
      <c r="N988" t="s">
        <v>4110</v>
      </c>
      <c r="O988" t="s">
        <v>4135</v>
      </c>
      <c r="P988" t="s">
        <v>4142</v>
      </c>
      <c r="Q988" t="s">
        <v>4147</v>
      </c>
      <c r="R988" t="s">
        <v>3523</v>
      </c>
      <c r="T988" t="s">
        <v>4156</v>
      </c>
      <c r="V988" t="s">
        <v>182</v>
      </c>
      <c r="W988">
        <v>939.4400000000001</v>
      </c>
      <c r="X988" t="s">
        <v>4194</v>
      </c>
      <c r="Y988" t="s">
        <v>4206</v>
      </c>
      <c r="AC988">
        <v>55</v>
      </c>
      <c r="AD988" t="s">
        <v>6772</v>
      </c>
      <c r="AE988" t="s">
        <v>3526</v>
      </c>
      <c r="AF988">
        <v>24</v>
      </c>
      <c r="AG988">
        <v>1</v>
      </c>
      <c r="AH988">
        <v>0</v>
      </c>
      <c r="AI988">
        <v>152.12</v>
      </c>
      <c r="AL988" t="s">
        <v>6801</v>
      </c>
      <c r="AM988">
        <v>19000</v>
      </c>
    </row>
    <row r="989" spans="1:44">
      <c r="A989" s="1">
        <f>HYPERLINK("https://lsnyc.legalserver.org/matter/dynamic-profile/view/1915137","19-1915137")</f>
        <v>0</v>
      </c>
      <c r="B989" t="s">
        <v>47</v>
      </c>
      <c r="C989" t="s">
        <v>182</v>
      </c>
      <c r="E989" t="s">
        <v>606</v>
      </c>
      <c r="F989" t="s">
        <v>1884</v>
      </c>
      <c r="G989" t="s">
        <v>2869</v>
      </c>
      <c r="I989" t="s">
        <v>3515</v>
      </c>
      <c r="J989">
        <v>11694</v>
      </c>
      <c r="K989" t="s">
        <v>3522</v>
      </c>
      <c r="L989" t="s">
        <v>3525</v>
      </c>
      <c r="M989" t="s">
        <v>3946</v>
      </c>
      <c r="N989" t="s">
        <v>4107</v>
      </c>
      <c r="O989" t="s">
        <v>4134</v>
      </c>
      <c r="Q989" t="s">
        <v>4147</v>
      </c>
      <c r="R989" t="s">
        <v>3523</v>
      </c>
      <c r="T989" t="s">
        <v>4156</v>
      </c>
      <c r="U989" t="s">
        <v>4168</v>
      </c>
      <c r="V989" t="s">
        <v>182</v>
      </c>
      <c r="W989">
        <v>1550</v>
      </c>
      <c r="X989" t="s">
        <v>4192</v>
      </c>
      <c r="Y989" t="s">
        <v>4197</v>
      </c>
      <c r="Z989" t="s">
        <v>5068</v>
      </c>
      <c r="AA989" t="s">
        <v>5633</v>
      </c>
      <c r="AB989" t="s">
        <v>6403</v>
      </c>
      <c r="AC989">
        <v>3</v>
      </c>
      <c r="AD989" t="s">
        <v>5524</v>
      </c>
      <c r="AE989" t="s">
        <v>3526</v>
      </c>
      <c r="AF989">
        <v>5</v>
      </c>
      <c r="AG989">
        <v>3</v>
      </c>
      <c r="AH989">
        <v>4</v>
      </c>
      <c r="AI989">
        <v>152.58</v>
      </c>
      <c r="AL989" t="s">
        <v>6801</v>
      </c>
      <c r="AM989">
        <v>59520</v>
      </c>
    </row>
    <row r="990" spans="1:44">
      <c r="A990" s="1">
        <f>HYPERLINK("https://lsnyc.legalserver.org/matter/dynamic-profile/view/1911968","19-1911968")</f>
        <v>0</v>
      </c>
      <c r="B990" t="s">
        <v>66</v>
      </c>
      <c r="C990" t="s">
        <v>251</v>
      </c>
      <c r="E990" t="s">
        <v>1019</v>
      </c>
      <c r="F990" t="s">
        <v>1353</v>
      </c>
      <c r="G990" t="s">
        <v>2870</v>
      </c>
      <c r="H990" t="s">
        <v>3388</v>
      </c>
      <c r="I990" t="s">
        <v>3490</v>
      </c>
      <c r="J990">
        <v>11219</v>
      </c>
      <c r="K990" t="s">
        <v>3522</v>
      </c>
      <c r="L990" t="s">
        <v>3525</v>
      </c>
      <c r="N990" t="s">
        <v>4108</v>
      </c>
      <c r="O990" t="s">
        <v>4134</v>
      </c>
      <c r="Q990" t="s">
        <v>4147</v>
      </c>
      <c r="R990" t="s">
        <v>3522</v>
      </c>
      <c r="T990" t="s">
        <v>4156</v>
      </c>
      <c r="V990" t="s">
        <v>268</v>
      </c>
      <c r="W990">
        <v>0</v>
      </c>
      <c r="X990" t="s">
        <v>4193</v>
      </c>
      <c r="Z990" t="s">
        <v>5069</v>
      </c>
      <c r="AB990" t="s">
        <v>6404</v>
      </c>
      <c r="AC990">
        <v>20</v>
      </c>
      <c r="AF990">
        <v>22</v>
      </c>
      <c r="AG990">
        <v>4</v>
      </c>
      <c r="AH990">
        <v>0</v>
      </c>
      <c r="AI990">
        <v>152.89</v>
      </c>
      <c r="AL990" t="s">
        <v>6801</v>
      </c>
      <c r="AM990">
        <v>39368</v>
      </c>
    </row>
    <row r="991" spans="1:44">
      <c r="A991" s="1">
        <f>HYPERLINK("https://lsnyc.legalserver.org/matter/dynamic-profile/view/1916441","19-1916441")</f>
        <v>0</v>
      </c>
      <c r="B991" t="s">
        <v>87</v>
      </c>
      <c r="C991" t="s">
        <v>223</v>
      </c>
      <c r="E991" t="s">
        <v>1020</v>
      </c>
      <c r="F991" t="s">
        <v>1885</v>
      </c>
      <c r="G991" t="s">
        <v>2871</v>
      </c>
      <c r="H991">
        <v>7</v>
      </c>
      <c r="I991" t="s">
        <v>3495</v>
      </c>
      <c r="J991">
        <v>10034</v>
      </c>
      <c r="K991" t="s">
        <v>3522</v>
      </c>
      <c r="L991" t="s">
        <v>3525</v>
      </c>
      <c r="O991" t="s">
        <v>4136</v>
      </c>
      <c r="Q991" t="s">
        <v>4147</v>
      </c>
      <c r="R991" t="s">
        <v>3523</v>
      </c>
      <c r="T991" t="s">
        <v>4156</v>
      </c>
      <c r="V991" t="s">
        <v>223</v>
      </c>
      <c r="W991">
        <v>0</v>
      </c>
      <c r="X991" t="s">
        <v>4196</v>
      </c>
      <c r="Z991" t="s">
        <v>5070</v>
      </c>
      <c r="AB991" t="s">
        <v>6405</v>
      </c>
      <c r="AC991">
        <v>0</v>
      </c>
      <c r="AE991" t="s">
        <v>3526</v>
      </c>
      <c r="AF991">
        <v>22</v>
      </c>
      <c r="AG991">
        <v>5</v>
      </c>
      <c r="AH991">
        <v>1</v>
      </c>
      <c r="AI991">
        <v>153.22</v>
      </c>
      <c r="AL991" t="s">
        <v>6801</v>
      </c>
      <c r="AM991">
        <v>53000</v>
      </c>
    </row>
    <row r="992" spans="1:44">
      <c r="A992" s="1">
        <f>HYPERLINK("https://lsnyc.legalserver.org/matter/dynamic-profile/view/1908794","19-1908794")</f>
        <v>0</v>
      </c>
      <c r="B992" t="s">
        <v>120</v>
      </c>
      <c r="C992" t="s">
        <v>236</v>
      </c>
      <c r="D992" t="s">
        <v>240</v>
      </c>
      <c r="E992" t="s">
        <v>814</v>
      </c>
      <c r="F992" t="s">
        <v>1886</v>
      </c>
      <c r="G992" t="s">
        <v>2872</v>
      </c>
      <c r="H992" t="s">
        <v>3135</v>
      </c>
      <c r="I992" t="s">
        <v>3494</v>
      </c>
      <c r="J992">
        <v>10301</v>
      </c>
      <c r="K992" t="s">
        <v>3522</v>
      </c>
      <c r="L992" t="s">
        <v>3525</v>
      </c>
      <c r="M992" t="s">
        <v>3529</v>
      </c>
      <c r="N992" t="s">
        <v>4107</v>
      </c>
      <c r="O992" t="s">
        <v>4132</v>
      </c>
      <c r="P992" t="s">
        <v>4139</v>
      </c>
      <c r="Q992" t="s">
        <v>4147</v>
      </c>
      <c r="R992" t="s">
        <v>3523</v>
      </c>
      <c r="S992" t="s">
        <v>4147</v>
      </c>
      <c r="T992" t="s">
        <v>4156</v>
      </c>
      <c r="U992" t="s">
        <v>4168</v>
      </c>
      <c r="V992" t="s">
        <v>214</v>
      </c>
      <c r="W992">
        <v>642</v>
      </c>
      <c r="X992" t="s">
        <v>4195</v>
      </c>
      <c r="Y992" t="s">
        <v>4210</v>
      </c>
      <c r="Z992" t="s">
        <v>5071</v>
      </c>
      <c r="AB992" t="s">
        <v>6406</v>
      </c>
      <c r="AC992">
        <v>16</v>
      </c>
      <c r="AD992" t="s">
        <v>6772</v>
      </c>
      <c r="AE992" t="s">
        <v>3526</v>
      </c>
      <c r="AF992">
        <v>7</v>
      </c>
      <c r="AG992">
        <v>1</v>
      </c>
      <c r="AH992">
        <v>0</v>
      </c>
      <c r="AI992">
        <v>153.72</v>
      </c>
      <c r="AL992" t="s">
        <v>6801</v>
      </c>
      <c r="AM992">
        <v>19200</v>
      </c>
      <c r="AP992" t="s">
        <v>4200</v>
      </c>
      <c r="AR992" t="s">
        <v>7006</v>
      </c>
    </row>
    <row r="993" spans="1:42">
      <c r="A993" s="1">
        <f>HYPERLINK("https://lsnyc.legalserver.org/matter/dynamic-profile/view/1908937","19-1908937")</f>
        <v>0</v>
      </c>
      <c r="B993" t="s">
        <v>93</v>
      </c>
      <c r="C993" t="s">
        <v>304</v>
      </c>
      <c r="E993" t="s">
        <v>543</v>
      </c>
      <c r="F993" t="s">
        <v>1887</v>
      </c>
      <c r="G993" t="s">
        <v>2502</v>
      </c>
      <c r="H993" t="s">
        <v>3139</v>
      </c>
      <c r="I993" t="s">
        <v>3495</v>
      </c>
      <c r="J993">
        <v>10040</v>
      </c>
      <c r="K993" t="s">
        <v>3522</v>
      </c>
      <c r="L993" t="s">
        <v>3525</v>
      </c>
      <c r="N993" t="s">
        <v>4108</v>
      </c>
      <c r="O993" t="s">
        <v>4134</v>
      </c>
      <c r="Q993" t="s">
        <v>4147</v>
      </c>
      <c r="R993" t="s">
        <v>3522</v>
      </c>
      <c r="T993" t="s">
        <v>4156</v>
      </c>
      <c r="V993" t="s">
        <v>304</v>
      </c>
      <c r="W993">
        <v>854</v>
      </c>
      <c r="X993" t="s">
        <v>4196</v>
      </c>
      <c r="Y993" t="s">
        <v>4205</v>
      </c>
      <c r="Z993" t="s">
        <v>5072</v>
      </c>
      <c r="AB993" t="s">
        <v>6407</v>
      </c>
      <c r="AC993">
        <v>77</v>
      </c>
      <c r="AD993" t="s">
        <v>6772</v>
      </c>
      <c r="AE993" t="s">
        <v>3526</v>
      </c>
      <c r="AF993">
        <v>41</v>
      </c>
      <c r="AG993">
        <v>1</v>
      </c>
      <c r="AH993">
        <v>0</v>
      </c>
      <c r="AI993">
        <v>153.72</v>
      </c>
      <c r="AL993" t="s">
        <v>6802</v>
      </c>
      <c r="AM993">
        <v>19200</v>
      </c>
    </row>
    <row r="994" spans="1:42">
      <c r="A994" s="1">
        <f>HYPERLINK("https://lsnyc.legalserver.org/matter/dynamic-profile/view/1914230","19-1914230")</f>
        <v>0</v>
      </c>
      <c r="B994" t="s">
        <v>91</v>
      </c>
      <c r="C994" t="s">
        <v>245</v>
      </c>
      <c r="E994" t="s">
        <v>1021</v>
      </c>
      <c r="F994" t="s">
        <v>1888</v>
      </c>
      <c r="G994" t="s">
        <v>2873</v>
      </c>
      <c r="H994" t="s">
        <v>3389</v>
      </c>
      <c r="I994" t="s">
        <v>3495</v>
      </c>
      <c r="J994">
        <v>10037</v>
      </c>
      <c r="K994" t="s">
        <v>3522</v>
      </c>
      <c r="L994" t="s">
        <v>3525</v>
      </c>
      <c r="N994" t="s">
        <v>4108</v>
      </c>
      <c r="O994" t="s">
        <v>4136</v>
      </c>
      <c r="Q994" t="s">
        <v>4147</v>
      </c>
      <c r="R994" t="s">
        <v>3522</v>
      </c>
      <c r="T994" t="s">
        <v>4156</v>
      </c>
      <c r="U994" t="s">
        <v>4168</v>
      </c>
      <c r="V994" t="s">
        <v>199</v>
      </c>
      <c r="W994">
        <v>849.86</v>
      </c>
      <c r="X994" t="s">
        <v>4196</v>
      </c>
      <c r="Y994" t="s">
        <v>4198</v>
      </c>
      <c r="Z994" t="s">
        <v>5073</v>
      </c>
      <c r="AB994" t="s">
        <v>6408</v>
      </c>
      <c r="AC994">
        <v>259</v>
      </c>
      <c r="AD994" t="s">
        <v>6772</v>
      </c>
      <c r="AE994" t="s">
        <v>6791</v>
      </c>
      <c r="AF994">
        <v>12</v>
      </c>
      <c r="AG994">
        <v>1</v>
      </c>
      <c r="AH994">
        <v>0</v>
      </c>
      <c r="AI994">
        <v>153.72</v>
      </c>
      <c r="AL994" t="s">
        <v>6801</v>
      </c>
      <c r="AM994">
        <v>19200</v>
      </c>
    </row>
    <row r="995" spans="1:42">
      <c r="A995" s="1">
        <f>HYPERLINK("https://lsnyc.legalserver.org/matter/dynamic-profile/view/1911427","19-1911427")</f>
        <v>0</v>
      </c>
      <c r="B995" t="s">
        <v>46</v>
      </c>
      <c r="C995" t="s">
        <v>313</v>
      </c>
      <c r="E995" t="s">
        <v>405</v>
      </c>
      <c r="F995" t="s">
        <v>1889</v>
      </c>
      <c r="G995" t="s">
        <v>2874</v>
      </c>
      <c r="H995" t="s">
        <v>3390</v>
      </c>
      <c r="I995" t="s">
        <v>3483</v>
      </c>
      <c r="J995">
        <v>11416</v>
      </c>
      <c r="K995" t="s">
        <v>3522</v>
      </c>
      <c r="L995" t="s">
        <v>3525</v>
      </c>
      <c r="M995" t="s">
        <v>3947</v>
      </c>
      <c r="N995" t="s">
        <v>4107</v>
      </c>
      <c r="O995" t="s">
        <v>4134</v>
      </c>
      <c r="Q995" t="s">
        <v>4148</v>
      </c>
      <c r="R995" t="s">
        <v>3523</v>
      </c>
      <c r="T995" t="s">
        <v>4156</v>
      </c>
      <c r="U995" t="s">
        <v>4168</v>
      </c>
      <c r="V995" t="s">
        <v>313</v>
      </c>
      <c r="W995">
        <v>2300</v>
      </c>
      <c r="X995" t="s">
        <v>4192</v>
      </c>
      <c r="Y995" t="s">
        <v>4199</v>
      </c>
      <c r="Z995" t="s">
        <v>5074</v>
      </c>
      <c r="AA995" t="s">
        <v>5482</v>
      </c>
      <c r="AC995">
        <v>3</v>
      </c>
      <c r="AD995" t="s">
        <v>6771</v>
      </c>
      <c r="AE995" t="s">
        <v>3526</v>
      </c>
      <c r="AF995">
        <v>1</v>
      </c>
      <c r="AG995">
        <v>1</v>
      </c>
      <c r="AH995">
        <v>1</v>
      </c>
      <c r="AI995">
        <v>153.76</v>
      </c>
      <c r="AJ995" t="s">
        <v>6795</v>
      </c>
      <c r="AK995" t="s">
        <v>6798</v>
      </c>
      <c r="AL995" t="s">
        <v>6802</v>
      </c>
      <c r="AM995">
        <v>26000</v>
      </c>
      <c r="AN995" t="s">
        <v>6865</v>
      </c>
      <c r="AP995" t="s">
        <v>4200</v>
      </c>
    </row>
    <row r="996" spans="1:42">
      <c r="A996" s="1">
        <f>HYPERLINK("https://lsnyc.legalserver.org/matter/dynamic-profile/view/1911493","19-1911493")</f>
        <v>0</v>
      </c>
      <c r="B996" t="s">
        <v>123</v>
      </c>
      <c r="C996" t="s">
        <v>215</v>
      </c>
      <c r="E996" t="s">
        <v>1022</v>
      </c>
      <c r="F996" t="s">
        <v>1890</v>
      </c>
      <c r="G996" t="s">
        <v>2454</v>
      </c>
      <c r="H996" t="s">
        <v>3252</v>
      </c>
      <c r="I996" t="s">
        <v>3495</v>
      </c>
      <c r="J996">
        <v>10040</v>
      </c>
      <c r="K996" t="s">
        <v>3522</v>
      </c>
      <c r="L996" t="s">
        <v>3525</v>
      </c>
      <c r="N996" t="s">
        <v>4115</v>
      </c>
      <c r="O996" t="s">
        <v>4134</v>
      </c>
      <c r="Q996" t="s">
        <v>4147</v>
      </c>
      <c r="R996" t="s">
        <v>3522</v>
      </c>
      <c r="T996" t="s">
        <v>4156</v>
      </c>
      <c r="V996" t="s">
        <v>215</v>
      </c>
      <c r="W996">
        <v>983.6</v>
      </c>
      <c r="X996" t="s">
        <v>4196</v>
      </c>
      <c r="Y996" t="s">
        <v>4201</v>
      </c>
      <c r="Z996" t="s">
        <v>4803</v>
      </c>
      <c r="AB996" t="s">
        <v>6409</v>
      </c>
      <c r="AC996">
        <v>44</v>
      </c>
      <c r="AD996" t="s">
        <v>6772</v>
      </c>
      <c r="AE996" t="s">
        <v>6791</v>
      </c>
      <c r="AF996">
        <v>25</v>
      </c>
      <c r="AG996">
        <v>2</v>
      </c>
      <c r="AH996">
        <v>0</v>
      </c>
      <c r="AI996">
        <v>154.68</v>
      </c>
      <c r="AL996" t="s">
        <v>6802</v>
      </c>
      <c r="AM996">
        <v>26156</v>
      </c>
    </row>
    <row r="997" spans="1:42">
      <c r="A997" s="1">
        <f>HYPERLINK("https://lsnyc.legalserver.org/matter/dynamic-profile/view/1911615","19-1911615")</f>
        <v>0</v>
      </c>
      <c r="B997" t="s">
        <v>123</v>
      </c>
      <c r="C997" t="s">
        <v>291</v>
      </c>
      <c r="E997" t="s">
        <v>1022</v>
      </c>
      <c r="F997" t="s">
        <v>1890</v>
      </c>
      <c r="G997" t="s">
        <v>2454</v>
      </c>
      <c r="H997" t="s">
        <v>3252</v>
      </c>
      <c r="I997" t="s">
        <v>3495</v>
      </c>
      <c r="J997">
        <v>10040</v>
      </c>
      <c r="K997" t="s">
        <v>3522</v>
      </c>
      <c r="L997" t="s">
        <v>3525</v>
      </c>
      <c r="N997" t="s">
        <v>4110</v>
      </c>
      <c r="O997" t="s">
        <v>4134</v>
      </c>
      <c r="Q997" t="s">
        <v>4147</v>
      </c>
      <c r="R997" t="s">
        <v>3522</v>
      </c>
      <c r="T997" t="s">
        <v>4156</v>
      </c>
      <c r="V997" t="s">
        <v>291</v>
      </c>
      <c r="W997">
        <v>983.6</v>
      </c>
      <c r="X997" t="s">
        <v>4196</v>
      </c>
      <c r="Y997" t="s">
        <v>4201</v>
      </c>
      <c r="Z997" t="s">
        <v>4803</v>
      </c>
      <c r="AB997" t="s">
        <v>6409</v>
      </c>
      <c r="AC997">
        <v>44</v>
      </c>
      <c r="AD997" t="s">
        <v>6772</v>
      </c>
      <c r="AE997" t="s">
        <v>3526</v>
      </c>
      <c r="AF997">
        <v>25</v>
      </c>
      <c r="AG997">
        <v>2</v>
      </c>
      <c r="AH997">
        <v>0</v>
      </c>
      <c r="AI997">
        <v>154.68</v>
      </c>
      <c r="AL997" t="s">
        <v>6802</v>
      </c>
      <c r="AM997">
        <v>26156</v>
      </c>
    </row>
    <row r="998" spans="1:42">
      <c r="A998" s="1">
        <f>HYPERLINK("https://lsnyc.legalserver.org/matter/dynamic-profile/view/1912470","19-1912470")</f>
        <v>0</v>
      </c>
      <c r="B998" t="s">
        <v>123</v>
      </c>
      <c r="C998" t="s">
        <v>295</v>
      </c>
      <c r="D998" t="s">
        <v>258</v>
      </c>
      <c r="E998" t="s">
        <v>1022</v>
      </c>
      <c r="F998" t="s">
        <v>1890</v>
      </c>
      <c r="G998" t="s">
        <v>2454</v>
      </c>
      <c r="H998" t="s">
        <v>3252</v>
      </c>
      <c r="I998" t="s">
        <v>3495</v>
      </c>
      <c r="J998">
        <v>10040</v>
      </c>
      <c r="K998" t="s">
        <v>3522</v>
      </c>
      <c r="L998" t="s">
        <v>3525</v>
      </c>
      <c r="M998" t="s">
        <v>3675</v>
      </c>
      <c r="N998" t="s">
        <v>4110</v>
      </c>
      <c r="O998" t="s">
        <v>4137</v>
      </c>
      <c r="P998" t="s">
        <v>4145</v>
      </c>
      <c r="Q998" t="s">
        <v>4147</v>
      </c>
      <c r="R998" t="s">
        <v>3522</v>
      </c>
      <c r="T998" t="s">
        <v>4156</v>
      </c>
      <c r="V998" t="s">
        <v>295</v>
      </c>
      <c r="W998">
        <v>1231.45</v>
      </c>
      <c r="X998" t="s">
        <v>4196</v>
      </c>
      <c r="Y998" t="s">
        <v>4198</v>
      </c>
      <c r="Z998" t="s">
        <v>4803</v>
      </c>
      <c r="AB998" t="s">
        <v>6409</v>
      </c>
      <c r="AC998">
        <v>44</v>
      </c>
      <c r="AD998" t="s">
        <v>6772</v>
      </c>
      <c r="AE998" t="s">
        <v>3526</v>
      </c>
      <c r="AF998">
        <v>13</v>
      </c>
      <c r="AG998">
        <v>2</v>
      </c>
      <c r="AH998">
        <v>0</v>
      </c>
      <c r="AI998">
        <v>154.68</v>
      </c>
      <c r="AL998" t="s">
        <v>6802</v>
      </c>
      <c r="AM998">
        <v>26156</v>
      </c>
    </row>
    <row r="999" spans="1:42">
      <c r="A999" s="1">
        <f>HYPERLINK("https://lsnyc.legalserver.org/matter/dynamic-profile/view/1904333","19-1904333")</f>
        <v>0</v>
      </c>
      <c r="B999" t="s">
        <v>92</v>
      </c>
      <c r="C999" t="s">
        <v>179</v>
      </c>
      <c r="D999" t="s">
        <v>243</v>
      </c>
      <c r="E999" t="s">
        <v>991</v>
      </c>
      <c r="F999" t="s">
        <v>1891</v>
      </c>
      <c r="G999" t="s">
        <v>2875</v>
      </c>
      <c r="H999">
        <v>55</v>
      </c>
      <c r="I999" t="s">
        <v>3495</v>
      </c>
      <c r="J999">
        <v>10034</v>
      </c>
      <c r="K999" t="s">
        <v>3522</v>
      </c>
      <c r="L999" t="s">
        <v>3525</v>
      </c>
      <c r="N999" t="s">
        <v>4113</v>
      </c>
      <c r="O999" t="s">
        <v>4132</v>
      </c>
      <c r="P999" t="s">
        <v>4139</v>
      </c>
      <c r="Q999" t="s">
        <v>4147</v>
      </c>
      <c r="R999" t="s">
        <v>3523</v>
      </c>
      <c r="T999" t="s">
        <v>4156</v>
      </c>
      <c r="U999" t="s">
        <v>4168</v>
      </c>
      <c r="V999" t="s">
        <v>179</v>
      </c>
      <c r="W999">
        <v>1408.53</v>
      </c>
      <c r="X999" t="s">
        <v>4196</v>
      </c>
      <c r="Y999" t="s">
        <v>4205</v>
      </c>
      <c r="Z999" t="s">
        <v>5075</v>
      </c>
      <c r="AB999" t="s">
        <v>6410</v>
      </c>
      <c r="AC999">
        <v>50</v>
      </c>
      <c r="AD999" t="s">
        <v>6772</v>
      </c>
      <c r="AE999" t="s">
        <v>3526</v>
      </c>
      <c r="AF999">
        <v>14</v>
      </c>
      <c r="AG999">
        <v>3</v>
      </c>
      <c r="AH999">
        <v>0</v>
      </c>
      <c r="AI999">
        <v>154.71</v>
      </c>
      <c r="AL999" t="s">
        <v>6802</v>
      </c>
      <c r="AM999">
        <v>33000</v>
      </c>
    </row>
    <row r="1000" spans="1:42">
      <c r="A1000" s="1">
        <f>HYPERLINK("https://lsnyc.legalserver.org/matter/dynamic-profile/view/1904729","19-1904729")</f>
        <v>0</v>
      </c>
      <c r="B1000" t="s">
        <v>90</v>
      </c>
      <c r="C1000" t="s">
        <v>246</v>
      </c>
      <c r="E1000" t="s">
        <v>804</v>
      </c>
      <c r="F1000" t="s">
        <v>1379</v>
      </c>
      <c r="G1000" t="s">
        <v>2876</v>
      </c>
      <c r="H1000" t="s">
        <v>3391</v>
      </c>
      <c r="I1000" t="s">
        <v>3495</v>
      </c>
      <c r="J1000">
        <v>10034</v>
      </c>
      <c r="K1000" t="s">
        <v>3522</v>
      </c>
      <c r="L1000" t="s">
        <v>3525</v>
      </c>
      <c r="N1000" t="s">
        <v>4108</v>
      </c>
      <c r="O1000" t="s">
        <v>4134</v>
      </c>
      <c r="Q1000" t="s">
        <v>4147</v>
      </c>
      <c r="R1000" t="s">
        <v>3522</v>
      </c>
      <c r="T1000" t="s">
        <v>4156</v>
      </c>
      <c r="V1000" t="s">
        <v>246</v>
      </c>
      <c r="W1000">
        <v>1600</v>
      </c>
      <c r="X1000" t="s">
        <v>4196</v>
      </c>
      <c r="Y1000" t="s">
        <v>4205</v>
      </c>
      <c r="Z1000" t="s">
        <v>5076</v>
      </c>
      <c r="AB1000" t="s">
        <v>6411</v>
      </c>
      <c r="AC1000">
        <v>43</v>
      </c>
      <c r="AD1000" t="s">
        <v>6772</v>
      </c>
      <c r="AE1000" t="s">
        <v>3526</v>
      </c>
      <c r="AF1000">
        <v>0</v>
      </c>
      <c r="AG1000">
        <v>3</v>
      </c>
      <c r="AH1000">
        <v>1</v>
      </c>
      <c r="AI1000">
        <v>154.72</v>
      </c>
      <c r="AL1000" t="s">
        <v>6802</v>
      </c>
      <c r="AM1000">
        <v>39840</v>
      </c>
    </row>
    <row r="1001" spans="1:42">
      <c r="A1001" s="1">
        <f>HYPERLINK("https://lsnyc.legalserver.org/matter/dynamic-profile/view/1916431","19-1916431")</f>
        <v>0</v>
      </c>
      <c r="B1001" t="s">
        <v>52</v>
      </c>
      <c r="C1001" t="s">
        <v>223</v>
      </c>
      <c r="E1001" t="s">
        <v>1023</v>
      </c>
      <c r="F1001" t="s">
        <v>1331</v>
      </c>
      <c r="G1001" t="s">
        <v>2640</v>
      </c>
      <c r="H1001" t="s">
        <v>3179</v>
      </c>
      <c r="I1001" t="s">
        <v>3490</v>
      </c>
      <c r="J1001">
        <v>11220</v>
      </c>
      <c r="K1001" t="s">
        <v>3522</v>
      </c>
      <c r="L1001" t="s">
        <v>3525</v>
      </c>
      <c r="N1001" t="s">
        <v>4115</v>
      </c>
      <c r="O1001" t="s">
        <v>4134</v>
      </c>
      <c r="Q1001" t="s">
        <v>4147</v>
      </c>
      <c r="R1001" t="s">
        <v>3522</v>
      </c>
      <c r="T1001" t="s">
        <v>4156</v>
      </c>
      <c r="V1001" t="s">
        <v>208</v>
      </c>
      <c r="W1001">
        <v>1297</v>
      </c>
      <c r="X1001" t="s">
        <v>4193</v>
      </c>
      <c r="Z1001" t="s">
        <v>5077</v>
      </c>
      <c r="AB1001" t="s">
        <v>6412</v>
      </c>
      <c r="AC1001">
        <v>54</v>
      </c>
      <c r="AD1001" t="s">
        <v>6772</v>
      </c>
      <c r="AF1001">
        <v>23</v>
      </c>
      <c r="AG1001">
        <v>4</v>
      </c>
      <c r="AH1001">
        <v>0</v>
      </c>
      <c r="AI1001">
        <v>155.34</v>
      </c>
      <c r="AL1001" t="s">
        <v>6801</v>
      </c>
      <c r="AM1001">
        <v>40000</v>
      </c>
    </row>
    <row r="1002" spans="1:42">
      <c r="A1002" s="1">
        <f>HYPERLINK("https://lsnyc.legalserver.org/matter/dynamic-profile/view/1905109","19-1905109")</f>
        <v>0</v>
      </c>
      <c r="B1002" t="s">
        <v>65</v>
      </c>
      <c r="C1002" t="s">
        <v>216</v>
      </c>
      <c r="E1002" t="s">
        <v>1024</v>
      </c>
      <c r="F1002" t="s">
        <v>1331</v>
      </c>
      <c r="G1002" t="s">
        <v>2640</v>
      </c>
      <c r="H1002" t="s">
        <v>3179</v>
      </c>
      <c r="I1002" t="s">
        <v>3490</v>
      </c>
      <c r="J1002">
        <v>11220</v>
      </c>
      <c r="K1002" t="s">
        <v>3522</v>
      </c>
      <c r="L1002" t="s">
        <v>3525</v>
      </c>
      <c r="N1002" t="s">
        <v>4108</v>
      </c>
      <c r="O1002" t="s">
        <v>4134</v>
      </c>
      <c r="Q1002" t="s">
        <v>4147</v>
      </c>
      <c r="R1002" t="s">
        <v>3522</v>
      </c>
      <c r="T1002" t="s">
        <v>4156</v>
      </c>
      <c r="V1002" t="s">
        <v>272</v>
      </c>
      <c r="W1002">
        <v>0</v>
      </c>
      <c r="X1002" t="s">
        <v>4193</v>
      </c>
      <c r="Z1002" t="s">
        <v>5077</v>
      </c>
      <c r="AB1002" t="s">
        <v>6412</v>
      </c>
      <c r="AC1002">
        <v>54</v>
      </c>
      <c r="AD1002" t="s">
        <v>6772</v>
      </c>
      <c r="AF1002">
        <v>0</v>
      </c>
      <c r="AG1002">
        <v>4</v>
      </c>
      <c r="AH1002">
        <v>0</v>
      </c>
      <c r="AI1002">
        <v>155.34</v>
      </c>
      <c r="AL1002" t="s">
        <v>6801</v>
      </c>
      <c r="AM1002">
        <v>40000</v>
      </c>
    </row>
    <row r="1003" spans="1:42">
      <c r="A1003" s="1">
        <f>HYPERLINK("https://lsnyc.legalserver.org/matter/dynamic-profile/view/1905021","19-1905021")</f>
        <v>0</v>
      </c>
      <c r="B1003" t="s">
        <v>120</v>
      </c>
      <c r="C1003" t="s">
        <v>312</v>
      </c>
      <c r="E1003" t="s">
        <v>1025</v>
      </c>
      <c r="F1003" t="s">
        <v>1892</v>
      </c>
      <c r="G1003" t="s">
        <v>2877</v>
      </c>
      <c r="H1003" t="s">
        <v>3217</v>
      </c>
      <c r="I1003" t="s">
        <v>3494</v>
      </c>
      <c r="J1003">
        <v>10304</v>
      </c>
      <c r="K1003" t="s">
        <v>3522</v>
      </c>
      <c r="L1003" t="s">
        <v>3525</v>
      </c>
      <c r="M1003" t="s">
        <v>3948</v>
      </c>
      <c r="N1003" t="s">
        <v>4109</v>
      </c>
      <c r="O1003" t="s">
        <v>4134</v>
      </c>
      <c r="Q1003" t="s">
        <v>4147</v>
      </c>
      <c r="R1003" t="s">
        <v>3523</v>
      </c>
      <c r="T1003" t="s">
        <v>4156</v>
      </c>
      <c r="U1003" t="s">
        <v>4168</v>
      </c>
      <c r="V1003" t="s">
        <v>312</v>
      </c>
      <c r="W1003">
        <v>463</v>
      </c>
      <c r="X1003" t="s">
        <v>4195</v>
      </c>
      <c r="Y1003" t="s">
        <v>4201</v>
      </c>
      <c r="Z1003" t="s">
        <v>5078</v>
      </c>
      <c r="AB1003" t="s">
        <v>6413</v>
      </c>
      <c r="AC1003">
        <v>131</v>
      </c>
      <c r="AD1003" t="s">
        <v>6778</v>
      </c>
      <c r="AE1003" t="s">
        <v>6786</v>
      </c>
      <c r="AF1003">
        <v>8</v>
      </c>
      <c r="AG1003">
        <v>3</v>
      </c>
      <c r="AH1003">
        <v>0</v>
      </c>
      <c r="AI1003">
        <v>156.02</v>
      </c>
      <c r="AL1003" t="s">
        <v>6801</v>
      </c>
      <c r="AM1003">
        <v>33279.96</v>
      </c>
    </row>
    <row r="1004" spans="1:42">
      <c r="A1004" s="1">
        <f>HYPERLINK("https://lsnyc.legalserver.org/matter/dynamic-profile/view/1915901","19-1915901")</f>
        <v>0</v>
      </c>
      <c r="B1004" t="s">
        <v>107</v>
      </c>
      <c r="C1004" t="s">
        <v>189</v>
      </c>
      <c r="E1004" t="s">
        <v>1026</v>
      </c>
      <c r="F1004" t="s">
        <v>1442</v>
      </c>
      <c r="G1004" t="s">
        <v>2609</v>
      </c>
      <c r="H1004" t="s">
        <v>3392</v>
      </c>
      <c r="I1004" t="s">
        <v>3494</v>
      </c>
      <c r="J1004">
        <v>10304</v>
      </c>
      <c r="K1004" t="s">
        <v>3522</v>
      </c>
      <c r="L1004" t="s">
        <v>3525</v>
      </c>
      <c r="M1004" t="s">
        <v>3949</v>
      </c>
      <c r="N1004" t="s">
        <v>4108</v>
      </c>
      <c r="O1004" t="s">
        <v>4134</v>
      </c>
      <c r="Q1004" t="s">
        <v>4147</v>
      </c>
      <c r="T1004" t="s">
        <v>4161</v>
      </c>
      <c r="V1004" t="s">
        <v>195</v>
      </c>
      <c r="W1004">
        <v>137</v>
      </c>
      <c r="X1004" t="s">
        <v>4195</v>
      </c>
      <c r="Y1004" t="s">
        <v>4203</v>
      </c>
      <c r="Z1004" t="s">
        <v>4564</v>
      </c>
      <c r="AB1004" t="s">
        <v>6414</v>
      </c>
      <c r="AC1004">
        <v>404</v>
      </c>
      <c r="AD1004" t="s">
        <v>6778</v>
      </c>
      <c r="AE1004" t="s">
        <v>3526</v>
      </c>
      <c r="AF1004">
        <v>10</v>
      </c>
      <c r="AG1004">
        <v>1</v>
      </c>
      <c r="AH1004">
        <v>0</v>
      </c>
      <c r="AI1004">
        <v>156.12</v>
      </c>
      <c r="AL1004" t="s">
        <v>6801</v>
      </c>
      <c r="AM1004">
        <v>19500</v>
      </c>
    </row>
    <row r="1005" spans="1:42">
      <c r="A1005" s="1">
        <f>HYPERLINK("https://lsnyc.legalserver.org/matter/dynamic-profile/view/1910598","19-1910598")</f>
        <v>0</v>
      </c>
      <c r="B1005" t="s">
        <v>87</v>
      </c>
      <c r="C1005" t="s">
        <v>177</v>
      </c>
      <c r="D1005" t="s">
        <v>248</v>
      </c>
      <c r="E1005" t="s">
        <v>1027</v>
      </c>
      <c r="F1005" t="s">
        <v>1893</v>
      </c>
      <c r="G1005" t="s">
        <v>2502</v>
      </c>
      <c r="H1005" t="s">
        <v>3205</v>
      </c>
      <c r="I1005" t="s">
        <v>3495</v>
      </c>
      <c r="J1005">
        <v>10040</v>
      </c>
      <c r="K1005" t="s">
        <v>3522</v>
      </c>
      <c r="L1005" t="s">
        <v>3525</v>
      </c>
      <c r="N1005" t="s">
        <v>4108</v>
      </c>
      <c r="O1005" t="s">
        <v>4132</v>
      </c>
      <c r="P1005" t="s">
        <v>4139</v>
      </c>
      <c r="Q1005" t="s">
        <v>4147</v>
      </c>
      <c r="R1005" t="s">
        <v>3522</v>
      </c>
      <c r="T1005" t="s">
        <v>4156</v>
      </c>
      <c r="V1005" t="s">
        <v>177</v>
      </c>
      <c r="W1005">
        <v>671.64</v>
      </c>
      <c r="X1005" t="s">
        <v>4196</v>
      </c>
      <c r="Y1005" t="s">
        <v>4205</v>
      </c>
      <c r="Z1005" t="s">
        <v>5079</v>
      </c>
      <c r="AC1005">
        <v>77</v>
      </c>
      <c r="AD1005" t="s">
        <v>6772</v>
      </c>
      <c r="AE1005" t="s">
        <v>6791</v>
      </c>
      <c r="AF1005">
        <v>48</v>
      </c>
      <c r="AG1005">
        <v>1</v>
      </c>
      <c r="AH1005">
        <v>0</v>
      </c>
      <c r="AI1005">
        <v>156.12</v>
      </c>
      <c r="AL1005" t="s">
        <v>6801</v>
      </c>
      <c r="AM1005">
        <v>19499.52</v>
      </c>
    </row>
    <row r="1006" spans="1:42">
      <c r="A1006" s="1">
        <f>HYPERLINK("https://lsnyc.legalserver.org/matter/dynamic-profile/view/1905267","19-1905267")</f>
        <v>0</v>
      </c>
      <c r="B1006" t="s">
        <v>126</v>
      </c>
      <c r="C1006" t="s">
        <v>255</v>
      </c>
      <c r="D1006" t="s">
        <v>220</v>
      </c>
      <c r="E1006" t="s">
        <v>1028</v>
      </c>
      <c r="F1006" t="s">
        <v>1894</v>
      </c>
      <c r="G1006" t="s">
        <v>2878</v>
      </c>
      <c r="H1006" t="s">
        <v>3393</v>
      </c>
      <c r="I1006" t="s">
        <v>3493</v>
      </c>
      <c r="J1006">
        <v>10451</v>
      </c>
      <c r="K1006" t="s">
        <v>3522</v>
      </c>
      <c r="L1006" t="s">
        <v>3525</v>
      </c>
      <c r="M1006" t="s">
        <v>3562</v>
      </c>
      <c r="N1006" t="s">
        <v>3554</v>
      </c>
      <c r="O1006" t="s">
        <v>4132</v>
      </c>
      <c r="P1006" t="s">
        <v>4139</v>
      </c>
      <c r="Q1006" t="s">
        <v>4147</v>
      </c>
      <c r="R1006" t="s">
        <v>3523</v>
      </c>
      <c r="T1006" t="s">
        <v>4156</v>
      </c>
      <c r="V1006" t="s">
        <v>201</v>
      </c>
      <c r="W1006">
        <v>1630</v>
      </c>
      <c r="X1006" t="s">
        <v>4194</v>
      </c>
      <c r="Y1006" t="s">
        <v>4206</v>
      </c>
      <c r="Z1006" t="s">
        <v>5080</v>
      </c>
      <c r="AC1006">
        <v>260</v>
      </c>
      <c r="AD1006" t="s">
        <v>6783</v>
      </c>
      <c r="AE1006" t="s">
        <v>3526</v>
      </c>
      <c r="AF1006">
        <v>16</v>
      </c>
      <c r="AG1006">
        <v>1</v>
      </c>
      <c r="AH1006">
        <v>0</v>
      </c>
      <c r="AI1006">
        <v>156.61</v>
      </c>
      <c r="AL1006" t="s">
        <v>6801</v>
      </c>
      <c r="AM1006">
        <v>19560</v>
      </c>
    </row>
    <row r="1007" spans="1:42">
      <c r="A1007" s="1">
        <f>HYPERLINK("https://lsnyc.legalserver.org/matter/dynamic-profile/view/1914679","19-1914679")</f>
        <v>0</v>
      </c>
      <c r="B1007" t="s">
        <v>96</v>
      </c>
      <c r="C1007" t="s">
        <v>199</v>
      </c>
      <c r="E1007" t="s">
        <v>1029</v>
      </c>
      <c r="F1007" t="s">
        <v>1895</v>
      </c>
      <c r="G1007" t="s">
        <v>2879</v>
      </c>
      <c r="H1007" t="s">
        <v>3135</v>
      </c>
      <c r="I1007" t="s">
        <v>3493</v>
      </c>
      <c r="J1007">
        <v>10451</v>
      </c>
      <c r="K1007" t="s">
        <v>3522</v>
      </c>
      <c r="L1007" t="s">
        <v>3525</v>
      </c>
      <c r="O1007" t="s">
        <v>4132</v>
      </c>
      <c r="Q1007" t="s">
        <v>4147</v>
      </c>
      <c r="R1007" t="s">
        <v>3523</v>
      </c>
      <c r="T1007" t="s">
        <v>4156</v>
      </c>
      <c r="V1007" t="s">
        <v>269</v>
      </c>
      <c r="W1007">
        <v>0</v>
      </c>
      <c r="X1007" t="s">
        <v>4194</v>
      </c>
      <c r="Z1007" t="s">
        <v>5081</v>
      </c>
      <c r="AB1007" t="s">
        <v>6415</v>
      </c>
      <c r="AC1007">
        <v>0</v>
      </c>
      <c r="AE1007" t="s">
        <v>3526</v>
      </c>
      <c r="AF1007">
        <v>0</v>
      </c>
      <c r="AG1007">
        <v>2</v>
      </c>
      <c r="AH1007">
        <v>1</v>
      </c>
      <c r="AI1007">
        <v>157.52</v>
      </c>
      <c r="AL1007" t="s">
        <v>6802</v>
      </c>
      <c r="AM1007">
        <v>33600</v>
      </c>
    </row>
    <row r="1008" spans="1:42">
      <c r="A1008" s="1">
        <f>HYPERLINK("https://lsnyc.legalserver.org/matter/dynamic-profile/view/1915646","19-1915646")</f>
        <v>0</v>
      </c>
      <c r="B1008" t="s">
        <v>68</v>
      </c>
      <c r="C1008" t="s">
        <v>325</v>
      </c>
      <c r="E1008" t="s">
        <v>1030</v>
      </c>
      <c r="F1008" t="s">
        <v>429</v>
      </c>
      <c r="G1008" t="s">
        <v>2880</v>
      </c>
      <c r="I1008" t="s">
        <v>3490</v>
      </c>
      <c r="J1008">
        <v>11212</v>
      </c>
      <c r="K1008" t="s">
        <v>3522</v>
      </c>
      <c r="L1008" t="s">
        <v>3525</v>
      </c>
      <c r="M1008" t="s">
        <v>3554</v>
      </c>
      <c r="N1008" t="s">
        <v>4110</v>
      </c>
      <c r="O1008" t="s">
        <v>4135</v>
      </c>
      <c r="Q1008" t="s">
        <v>4147</v>
      </c>
      <c r="R1008" t="s">
        <v>3523</v>
      </c>
      <c r="T1008" t="s">
        <v>4156</v>
      </c>
      <c r="V1008" t="s">
        <v>201</v>
      </c>
      <c r="W1008">
        <v>911.8</v>
      </c>
      <c r="X1008" t="s">
        <v>4193</v>
      </c>
      <c r="Y1008" t="s">
        <v>4200</v>
      </c>
      <c r="Z1008" t="s">
        <v>5082</v>
      </c>
      <c r="AA1008" t="s">
        <v>3526</v>
      </c>
      <c r="AB1008" t="s">
        <v>6416</v>
      </c>
      <c r="AC1008">
        <v>71</v>
      </c>
      <c r="AD1008" t="s">
        <v>6772</v>
      </c>
      <c r="AE1008" t="s">
        <v>3526</v>
      </c>
      <c r="AF1008">
        <v>30</v>
      </c>
      <c r="AG1008">
        <v>2</v>
      </c>
      <c r="AH1008">
        <v>0</v>
      </c>
      <c r="AI1008">
        <v>157.84</v>
      </c>
      <c r="AL1008" t="s">
        <v>6801</v>
      </c>
      <c r="AM1008">
        <v>26690</v>
      </c>
    </row>
    <row r="1009" spans="1:42">
      <c r="A1009" s="1">
        <f>HYPERLINK("https://lsnyc.legalserver.org/matter/dynamic-profile/view/1910889","19-1910889")</f>
        <v>0</v>
      </c>
      <c r="B1009" t="s">
        <v>68</v>
      </c>
      <c r="C1009" t="s">
        <v>198</v>
      </c>
      <c r="E1009" t="s">
        <v>1030</v>
      </c>
      <c r="F1009" t="s">
        <v>429</v>
      </c>
      <c r="G1009" t="s">
        <v>2880</v>
      </c>
      <c r="I1009" t="s">
        <v>3490</v>
      </c>
      <c r="J1009">
        <v>11212</v>
      </c>
      <c r="K1009" t="s">
        <v>3522</v>
      </c>
      <c r="L1009" t="s">
        <v>3525</v>
      </c>
      <c r="M1009" t="s">
        <v>3553</v>
      </c>
      <c r="N1009" t="s">
        <v>4116</v>
      </c>
      <c r="O1009" t="s">
        <v>4135</v>
      </c>
      <c r="Q1009" t="s">
        <v>4147</v>
      </c>
      <c r="R1009" t="s">
        <v>3523</v>
      </c>
      <c r="T1009" t="s">
        <v>4156</v>
      </c>
      <c r="U1009" t="s">
        <v>4168</v>
      </c>
      <c r="V1009" t="s">
        <v>201</v>
      </c>
      <c r="W1009">
        <v>911.8</v>
      </c>
      <c r="X1009" t="s">
        <v>4193</v>
      </c>
      <c r="Y1009" t="s">
        <v>4200</v>
      </c>
      <c r="Z1009" t="s">
        <v>5082</v>
      </c>
      <c r="AA1009" t="s">
        <v>3562</v>
      </c>
      <c r="AB1009" t="s">
        <v>6416</v>
      </c>
      <c r="AC1009">
        <v>71</v>
      </c>
      <c r="AD1009" t="s">
        <v>6772</v>
      </c>
      <c r="AE1009" t="s">
        <v>3526</v>
      </c>
      <c r="AF1009">
        <v>30</v>
      </c>
      <c r="AG1009">
        <v>2</v>
      </c>
      <c r="AH1009">
        <v>0</v>
      </c>
      <c r="AI1009">
        <v>157.89</v>
      </c>
      <c r="AL1009" t="s">
        <v>6801</v>
      </c>
      <c r="AM1009">
        <v>26700</v>
      </c>
    </row>
    <row r="1010" spans="1:42">
      <c r="A1010" s="1">
        <f>HYPERLINK("https://lsnyc.legalserver.org/matter/dynamic-profile/view/1902689","19-1902689")</f>
        <v>0</v>
      </c>
      <c r="B1010" t="s">
        <v>143</v>
      </c>
      <c r="C1010" t="s">
        <v>259</v>
      </c>
      <c r="E1010" t="s">
        <v>1031</v>
      </c>
      <c r="F1010" t="s">
        <v>1896</v>
      </c>
      <c r="G1010" t="s">
        <v>2881</v>
      </c>
      <c r="H1010" t="s">
        <v>3204</v>
      </c>
      <c r="I1010" t="s">
        <v>3494</v>
      </c>
      <c r="J1010">
        <v>10301</v>
      </c>
      <c r="K1010" t="s">
        <v>3522</v>
      </c>
      <c r="L1010" t="s">
        <v>3525</v>
      </c>
      <c r="M1010" t="s">
        <v>3950</v>
      </c>
      <c r="N1010" t="s">
        <v>4107</v>
      </c>
      <c r="O1010" t="s">
        <v>4134</v>
      </c>
      <c r="Q1010" t="s">
        <v>4147</v>
      </c>
      <c r="R1010" t="s">
        <v>3523</v>
      </c>
      <c r="T1010" t="s">
        <v>4156</v>
      </c>
      <c r="U1010" t="s">
        <v>4168</v>
      </c>
      <c r="V1010" t="s">
        <v>259</v>
      </c>
      <c r="W1010">
        <v>1025</v>
      </c>
      <c r="X1010" t="s">
        <v>4195</v>
      </c>
      <c r="Y1010" t="s">
        <v>4203</v>
      </c>
      <c r="Z1010" t="s">
        <v>5083</v>
      </c>
      <c r="AB1010" t="s">
        <v>6417</v>
      </c>
      <c r="AC1010">
        <v>2</v>
      </c>
      <c r="AD1010" t="s">
        <v>6771</v>
      </c>
      <c r="AE1010" t="s">
        <v>3526</v>
      </c>
      <c r="AF1010">
        <v>6</v>
      </c>
      <c r="AG1010">
        <v>1</v>
      </c>
      <c r="AH1010">
        <v>0</v>
      </c>
      <c r="AI1010">
        <v>158.21</v>
      </c>
      <c r="AL1010" t="s">
        <v>6801</v>
      </c>
      <c r="AM1010">
        <v>19760</v>
      </c>
      <c r="AO1010" t="s">
        <v>6923</v>
      </c>
    </row>
    <row r="1011" spans="1:42">
      <c r="A1011" s="1">
        <f>HYPERLINK("https://lsnyc.legalserver.org/matter/dynamic-profile/view/1903631","19-1903631")</f>
        <v>0</v>
      </c>
      <c r="B1011" t="s">
        <v>132</v>
      </c>
      <c r="C1011" t="s">
        <v>286</v>
      </c>
      <c r="D1011" t="s">
        <v>257</v>
      </c>
      <c r="E1011" t="s">
        <v>1032</v>
      </c>
      <c r="F1011" t="s">
        <v>1897</v>
      </c>
      <c r="G1011" t="s">
        <v>2882</v>
      </c>
      <c r="H1011" t="s">
        <v>3378</v>
      </c>
      <c r="I1011" t="s">
        <v>3495</v>
      </c>
      <c r="J1011">
        <v>10021</v>
      </c>
      <c r="K1011" t="s">
        <v>3522</v>
      </c>
      <c r="L1011" t="s">
        <v>3525</v>
      </c>
      <c r="M1011" t="s">
        <v>3951</v>
      </c>
      <c r="N1011" t="s">
        <v>4109</v>
      </c>
      <c r="O1011" t="s">
        <v>4132</v>
      </c>
      <c r="P1011" t="s">
        <v>4139</v>
      </c>
      <c r="Q1011" t="s">
        <v>4147</v>
      </c>
      <c r="R1011" t="s">
        <v>3523</v>
      </c>
      <c r="T1011" t="s">
        <v>4156</v>
      </c>
      <c r="V1011" t="s">
        <v>257</v>
      </c>
      <c r="W1011">
        <v>830.13</v>
      </c>
      <c r="X1011" t="s">
        <v>4196</v>
      </c>
      <c r="Y1011" t="s">
        <v>4206</v>
      </c>
      <c r="Z1011" t="s">
        <v>5084</v>
      </c>
      <c r="AB1011" t="s">
        <v>6418</v>
      </c>
      <c r="AC1011">
        <v>20</v>
      </c>
      <c r="AD1011" t="s">
        <v>6772</v>
      </c>
      <c r="AF1011">
        <v>43</v>
      </c>
      <c r="AG1011">
        <v>1</v>
      </c>
      <c r="AH1011">
        <v>0</v>
      </c>
      <c r="AI1011">
        <v>158.33</v>
      </c>
      <c r="AL1011" t="s">
        <v>6801</v>
      </c>
      <c r="AM1011">
        <v>19776</v>
      </c>
    </row>
    <row r="1012" spans="1:42">
      <c r="A1012" s="1">
        <f>HYPERLINK("https://lsnyc.legalserver.org/matter/dynamic-profile/view/1912555","19-1912555")</f>
        <v>0</v>
      </c>
      <c r="B1012" t="s">
        <v>55</v>
      </c>
      <c r="C1012" t="s">
        <v>178</v>
      </c>
      <c r="E1012" t="s">
        <v>1033</v>
      </c>
      <c r="F1012" t="s">
        <v>1898</v>
      </c>
      <c r="G1012" t="s">
        <v>2883</v>
      </c>
      <c r="H1012">
        <v>2</v>
      </c>
      <c r="I1012" t="s">
        <v>3490</v>
      </c>
      <c r="J1012">
        <v>11233</v>
      </c>
      <c r="K1012" t="s">
        <v>3522</v>
      </c>
      <c r="L1012" t="s">
        <v>3525</v>
      </c>
      <c r="M1012" t="s">
        <v>3952</v>
      </c>
      <c r="N1012" t="s">
        <v>4109</v>
      </c>
      <c r="O1012" t="s">
        <v>4134</v>
      </c>
      <c r="Q1012" t="s">
        <v>4147</v>
      </c>
      <c r="R1012" t="s">
        <v>3523</v>
      </c>
      <c r="T1012" t="s">
        <v>4156</v>
      </c>
      <c r="U1012" t="s">
        <v>4168</v>
      </c>
      <c r="V1012" t="s">
        <v>256</v>
      </c>
      <c r="W1012">
        <v>2400</v>
      </c>
      <c r="X1012" t="s">
        <v>4193</v>
      </c>
      <c r="Y1012" t="s">
        <v>4203</v>
      </c>
      <c r="Z1012" t="s">
        <v>5085</v>
      </c>
      <c r="AA1012" t="s">
        <v>5634</v>
      </c>
      <c r="AB1012" t="s">
        <v>6419</v>
      </c>
      <c r="AC1012">
        <v>2</v>
      </c>
      <c r="AD1012" t="s">
        <v>6771</v>
      </c>
      <c r="AE1012" t="s">
        <v>3526</v>
      </c>
      <c r="AF1012">
        <v>1</v>
      </c>
      <c r="AG1012">
        <v>2</v>
      </c>
      <c r="AH1012">
        <v>2</v>
      </c>
      <c r="AI1012">
        <v>159.22</v>
      </c>
      <c r="AL1012" t="s">
        <v>6801</v>
      </c>
      <c r="AM1012">
        <v>41000</v>
      </c>
    </row>
    <row r="1013" spans="1:42">
      <c r="A1013" s="1">
        <f>HYPERLINK("https://lsnyc.legalserver.org/matter/dynamic-profile/view/1910497","19-1910497")</f>
        <v>0</v>
      </c>
      <c r="B1013" t="s">
        <v>57</v>
      </c>
      <c r="C1013" t="s">
        <v>214</v>
      </c>
      <c r="E1013" t="s">
        <v>1034</v>
      </c>
      <c r="F1013" t="s">
        <v>1899</v>
      </c>
      <c r="G1013" t="s">
        <v>2884</v>
      </c>
      <c r="H1013" t="s">
        <v>3151</v>
      </c>
      <c r="I1013" t="s">
        <v>3490</v>
      </c>
      <c r="J1013">
        <v>11208</v>
      </c>
      <c r="K1013" t="s">
        <v>3522</v>
      </c>
      <c r="L1013" t="s">
        <v>3525</v>
      </c>
      <c r="M1013" t="s">
        <v>3953</v>
      </c>
      <c r="N1013" t="s">
        <v>4109</v>
      </c>
      <c r="O1013" t="s">
        <v>4137</v>
      </c>
      <c r="Q1013" t="s">
        <v>4147</v>
      </c>
      <c r="R1013" t="s">
        <v>3523</v>
      </c>
      <c r="T1013" t="s">
        <v>4158</v>
      </c>
      <c r="U1013" t="s">
        <v>4168</v>
      </c>
      <c r="V1013" t="s">
        <v>324</v>
      </c>
      <c r="W1013">
        <v>1515</v>
      </c>
      <c r="X1013" t="s">
        <v>4193</v>
      </c>
      <c r="Y1013" t="s">
        <v>4201</v>
      </c>
      <c r="Z1013" t="s">
        <v>5086</v>
      </c>
      <c r="AA1013" t="s">
        <v>5635</v>
      </c>
      <c r="AB1013" t="s">
        <v>6420</v>
      </c>
      <c r="AC1013">
        <v>6</v>
      </c>
      <c r="AD1013" t="s">
        <v>6772</v>
      </c>
      <c r="AE1013" t="s">
        <v>6787</v>
      </c>
      <c r="AF1013">
        <v>3</v>
      </c>
      <c r="AG1013">
        <v>1</v>
      </c>
      <c r="AH1013">
        <v>2</v>
      </c>
      <c r="AI1013">
        <v>159.4</v>
      </c>
      <c r="AL1013" t="s">
        <v>6801</v>
      </c>
      <c r="AM1013">
        <v>34000</v>
      </c>
    </row>
    <row r="1014" spans="1:42">
      <c r="A1014" s="1">
        <f>HYPERLINK("https://lsnyc.legalserver.org/matter/dynamic-profile/view/1911026","19-1911026")</f>
        <v>0</v>
      </c>
      <c r="B1014" t="s">
        <v>99</v>
      </c>
      <c r="C1014" t="s">
        <v>270</v>
      </c>
      <c r="E1014" t="s">
        <v>1035</v>
      </c>
      <c r="F1014" t="s">
        <v>1610</v>
      </c>
      <c r="G1014" t="s">
        <v>2885</v>
      </c>
      <c r="H1014" t="s">
        <v>3139</v>
      </c>
      <c r="I1014" t="s">
        <v>3495</v>
      </c>
      <c r="J1014">
        <v>10034</v>
      </c>
      <c r="K1014" t="s">
        <v>3522</v>
      </c>
      <c r="L1014" t="s">
        <v>3525</v>
      </c>
      <c r="N1014" t="s">
        <v>3554</v>
      </c>
      <c r="O1014" t="s">
        <v>4135</v>
      </c>
      <c r="Q1014" t="s">
        <v>4147</v>
      </c>
      <c r="R1014" t="s">
        <v>3523</v>
      </c>
      <c r="T1014" t="s">
        <v>4156</v>
      </c>
      <c r="U1014" t="s">
        <v>4168</v>
      </c>
      <c r="V1014" t="s">
        <v>270</v>
      </c>
      <c r="W1014">
        <v>1607</v>
      </c>
      <c r="X1014" t="s">
        <v>4196</v>
      </c>
      <c r="Y1014" t="s">
        <v>4201</v>
      </c>
      <c r="Z1014" t="s">
        <v>5087</v>
      </c>
      <c r="AB1014" t="s">
        <v>6421</v>
      </c>
      <c r="AC1014">
        <v>70</v>
      </c>
      <c r="AD1014" t="s">
        <v>6772</v>
      </c>
      <c r="AE1014" t="s">
        <v>3526</v>
      </c>
      <c r="AF1014">
        <v>12</v>
      </c>
      <c r="AG1014">
        <v>1</v>
      </c>
      <c r="AH1014">
        <v>0</v>
      </c>
      <c r="AI1014">
        <v>159.49</v>
      </c>
      <c r="AL1014" t="s">
        <v>6801</v>
      </c>
      <c r="AM1014">
        <v>19920</v>
      </c>
    </row>
    <row r="1015" spans="1:42">
      <c r="A1015" s="1">
        <f>HYPERLINK("https://lsnyc.legalserver.org/matter/dynamic-profile/view/1909569","19-1909569")</f>
        <v>0</v>
      </c>
      <c r="B1015" t="s">
        <v>44</v>
      </c>
      <c r="C1015" t="s">
        <v>184</v>
      </c>
      <c r="D1015" t="s">
        <v>360</v>
      </c>
      <c r="E1015" t="s">
        <v>1036</v>
      </c>
      <c r="F1015" t="s">
        <v>1900</v>
      </c>
      <c r="G1015" t="s">
        <v>2886</v>
      </c>
      <c r="H1015" t="s">
        <v>3132</v>
      </c>
      <c r="I1015" t="s">
        <v>3506</v>
      </c>
      <c r="J1015">
        <v>11422</v>
      </c>
      <c r="K1015" t="s">
        <v>3522</v>
      </c>
      <c r="L1015" t="s">
        <v>3525</v>
      </c>
      <c r="M1015" t="s">
        <v>3954</v>
      </c>
      <c r="N1015" t="s">
        <v>4107</v>
      </c>
      <c r="O1015" t="s">
        <v>4132</v>
      </c>
      <c r="P1015" t="s">
        <v>4139</v>
      </c>
      <c r="Q1015" t="s">
        <v>4147</v>
      </c>
      <c r="R1015" t="s">
        <v>3523</v>
      </c>
      <c r="T1015" t="s">
        <v>4156</v>
      </c>
      <c r="U1015" t="s">
        <v>4168</v>
      </c>
      <c r="V1015" t="s">
        <v>184</v>
      </c>
      <c r="W1015">
        <v>1500</v>
      </c>
      <c r="X1015" t="s">
        <v>4192</v>
      </c>
      <c r="Y1015" t="s">
        <v>4197</v>
      </c>
      <c r="Z1015" t="s">
        <v>5088</v>
      </c>
      <c r="AA1015" t="s">
        <v>3526</v>
      </c>
      <c r="AB1015" t="s">
        <v>6422</v>
      </c>
      <c r="AC1015">
        <v>2</v>
      </c>
      <c r="AD1015" t="s">
        <v>6771</v>
      </c>
      <c r="AE1015" t="s">
        <v>3526</v>
      </c>
      <c r="AF1015">
        <v>1</v>
      </c>
      <c r="AG1015">
        <v>1</v>
      </c>
      <c r="AH1015">
        <v>0</v>
      </c>
      <c r="AI1015">
        <v>160.13</v>
      </c>
      <c r="AL1015" t="s">
        <v>6801</v>
      </c>
      <c r="AM1015">
        <v>20000</v>
      </c>
    </row>
    <row r="1016" spans="1:42">
      <c r="A1016" s="1">
        <f>HYPERLINK("https://lsnyc.legalserver.org/matter/dynamic-profile/view/1913884","19-1913884")</f>
        <v>0</v>
      </c>
      <c r="B1016" t="s">
        <v>173</v>
      </c>
      <c r="C1016" t="s">
        <v>199</v>
      </c>
      <c r="E1016" t="s">
        <v>1037</v>
      </c>
      <c r="F1016" t="s">
        <v>1901</v>
      </c>
      <c r="G1016" t="s">
        <v>2887</v>
      </c>
      <c r="H1016" t="s">
        <v>3149</v>
      </c>
      <c r="I1016" t="s">
        <v>3490</v>
      </c>
      <c r="J1016">
        <v>11237</v>
      </c>
      <c r="K1016" t="s">
        <v>3522</v>
      </c>
      <c r="L1016" t="s">
        <v>3525</v>
      </c>
      <c r="M1016" t="s">
        <v>3955</v>
      </c>
      <c r="N1016" t="s">
        <v>4107</v>
      </c>
      <c r="O1016" t="s">
        <v>4132</v>
      </c>
      <c r="Q1016" t="s">
        <v>4147</v>
      </c>
      <c r="R1016" t="s">
        <v>3523</v>
      </c>
      <c r="T1016" t="s">
        <v>4156</v>
      </c>
      <c r="V1016" t="s">
        <v>199</v>
      </c>
      <c r="W1016">
        <v>2400</v>
      </c>
      <c r="X1016" t="s">
        <v>4193</v>
      </c>
      <c r="Y1016" t="s">
        <v>4197</v>
      </c>
      <c r="Z1016" t="s">
        <v>5089</v>
      </c>
      <c r="AB1016" t="s">
        <v>6423</v>
      </c>
      <c r="AC1016">
        <v>0</v>
      </c>
      <c r="AF1016">
        <v>1</v>
      </c>
      <c r="AG1016">
        <v>1</v>
      </c>
      <c r="AH1016">
        <v>0</v>
      </c>
      <c r="AI1016">
        <v>160.13</v>
      </c>
      <c r="AL1016" t="s">
        <v>6801</v>
      </c>
      <c r="AM1016">
        <v>20000</v>
      </c>
    </row>
    <row r="1017" spans="1:42">
      <c r="A1017" s="1">
        <f>HYPERLINK("https://lsnyc.legalserver.org/matter/dynamic-profile/view/1909089","19-1909089")</f>
        <v>0</v>
      </c>
      <c r="B1017" t="s">
        <v>54</v>
      </c>
      <c r="C1017" t="s">
        <v>275</v>
      </c>
      <c r="E1017" t="s">
        <v>1038</v>
      </c>
      <c r="F1017" t="s">
        <v>1902</v>
      </c>
      <c r="G1017" t="s">
        <v>2189</v>
      </c>
      <c r="H1017" t="s">
        <v>3394</v>
      </c>
      <c r="I1017" t="s">
        <v>3490</v>
      </c>
      <c r="J1017">
        <v>11233</v>
      </c>
      <c r="K1017" t="s">
        <v>3522</v>
      </c>
      <c r="L1017" t="s">
        <v>3526</v>
      </c>
      <c r="M1017" t="s">
        <v>3550</v>
      </c>
      <c r="N1017" t="s">
        <v>4110</v>
      </c>
      <c r="O1017" t="s">
        <v>4137</v>
      </c>
      <c r="Q1017" t="s">
        <v>4147</v>
      </c>
      <c r="R1017" t="s">
        <v>3522</v>
      </c>
      <c r="T1017" t="s">
        <v>4156</v>
      </c>
      <c r="U1017" t="s">
        <v>4168</v>
      </c>
      <c r="V1017" t="s">
        <v>4175</v>
      </c>
      <c r="W1017">
        <v>879</v>
      </c>
      <c r="X1017" t="s">
        <v>4193</v>
      </c>
      <c r="Y1017" t="s">
        <v>4200</v>
      </c>
      <c r="Z1017" t="s">
        <v>5090</v>
      </c>
      <c r="AC1017">
        <v>359</v>
      </c>
      <c r="AD1017" t="s">
        <v>6772</v>
      </c>
      <c r="AE1017" t="s">
        <v>3526</v>
      </c>
      <c r="AF1017">
        <v>28</v>
      </c>
      <c r="AG1017">
        <v>1</v>
      </c>
      <c r="AH1017">
        <v>0</v>
      </c>
      <c r="AI1017">
        <v>160.13</v>
      </c>
      <c r="AL1017" t="s">
        <v>6801</v>
      </c>
      <c r="AM1017">
        <v>20000</v>
      </c>
      <c r="AN1017" t="s">
        <v>6866</v>
      </c>
    </row>
    <row r="1018" spans="1:42">
      <c r="A1018" s="1">
        <f>HYPERLINK("https://lsnyc.legalserver.org/matter/dynamic-profile/view/1907781","19-1907781")</f>
        <v>0</v>
      </c>
      <c r="B1018" t="s">
        <v>58</v>
      </c>
      <c r="C1018" t="s">
        <v>222</v>
      </c>
      <c r="E1018" t="s">
        <v>1039</v>
      </c>
      <c r="F1018" t="s">
        <v>1903</v>
      </c>
      <c r="G1018" t="s">
        <v>2888</v>
      </c>
      <c r="H1018" t="s">
        <v>3170</v>
      </c>
      <c r="I1018" t="s">
        <v>3490</v>
      </c>
      <c r="J1018">
        <v>11233</v>
      </c>
      <c r="K1018" t="s">
        <v>3522</v>
      </c>
      <c r="L1018" t="s">
        <v>3525</v>
      </c>
      <c r="M1018" t="s">
        <v>3553</v>
      </c>
      <c r="N1018" t="s">
        <v>3554</v>
      </c>
      <c r="O1018" t="s">
        <v>4132</v>
      </c>
      <c r="Q1018" t="s">
        <v>4147</v>
      </c>
      <c r="R1018" t="s">
        <v>3523</v>
      </c>
      <c r="T1018" t="s">
        <v>4156</v>
      </c>
      <c r="U1018" t="s">
        <v>4168</v>
      </c>
      <c r="V1018" t="s">
        <v>222</v>
      </c>
      <c r="W1018">
        <v>835</v>
      </c>
      <c r="X1018" t="s">
        <v>4193</v>
      </c>
      <c r="Y1018" t="s">
        <v>4205</v>
      </c>
      <c r="Z1018" t="s">
        <v>5091</v>
      </c>
      <c r="AA1018" t="s">
        <v>3562</v>
      </c>
      <c r="AB1018" t="s">
        <v>6424</v>
      </c>
      <c r="AC1018">
        <v>6</v>
      </c>
      <c r="AD1018" t="s">
        <v>6772</v>
      </c>
      <c r="AE1018" t="s">
        <v>3526</v>
      </c>
      <c r="AF1018">
        <v>1</v>
      </c>
      <c r="AG1018">
        <v>1</v>
      </c>
      <c r="AH1018">
        <v>0</v>
      </c>
      <c r="AI1018">
        <v>160.13</v>
      </c>
      <c r="AL1018" t="s">
        <v>6801</v>
      </c>
      <c r="AM1018">
        <v>20000</v>
      </c>
    </row>
    <row r="1019" spans="1:42">
      <c r="A1019" s="1">
        <f>HYPERLINK("https://lsnyc.legalserver.org/matter/dynamic-profile/view/1911212","19-1911212")</f>
        <v>0</v>
      </c>
      <c r="B1019" t="s">
        <v>68</v>
      </c>
      <c r="C1019" t="s">
        <v>324</v>
      </c>
      <c r="E1019" t="s">
        <v>625</v>
      </c>
      <c r="F1019" t="s">
        <v>1904</v>
      </c>
      <c r="G1019" t="s">
        <v>2334</v>
      </c>
      <c r="I1019" t="s">
        <v>3490</v>
      </c>
      <c r="J1019">
        <v>11213</v>
      </c>
      <c r="K1019" t="s">
        <v>3522</v>
      </c>
      <c r="L1019" t="s">
        <v>3525</v>
      </c>
      <c r="M1019" t="s">
        <v>3956</v>
      </c>
      <c r="N1019" t="s">
        <v>4109</v>
      </c>
      <c r="O1019" t="s">
        <v>4134</v>
      </c>
      <c r="Q1019" t="s">
        <v>4147</v>
      </c>
      <c r="R1019" t="s">
        <v>3523</v>
      </c>
      <c r="T1019" t="s">
        <v>4156</v>
      </c>
      <c r="U1019" t="s">
        <v>4168</v>
      </c>
      <c r="V1019" t="s">
        <v>270</v>
      </c>
      <c r="W1019">
        <v>761.09</v>
      </c>
      <c r="X1019" t="s">
        <v>4193</v>
      </c>
      <c r="Y1019" t="s">
        <v>4201</v>
      </c>
      <c r="Z1019" t="s">
        <v>5092</v>
      </c>
      <c r="AA1019" t="s">
        <v>3526</v>
      </c>
      <c r="AB1019" t="s">
        <v>6425</v>
      </c>
      <c r="AC1019">
        <v>35</v>
      </c>
      <c r="AD1019" t="s">
        <v>6772</v>
      </c>
      <c r="AE1019" t="s">
        <v>3526</v>
      </c>
      <c r="AF1019">
        <v>22</v>
      </c>
      <c r="AG1019">
        <v>1</v>
      </c>
      <c r="AH1019">
        <v>0</v>
      </c>
      <c r="AI1019">
        <v>160.13</v>
      </c>
      <c r="AL1019" t="s">
        <v>6801</v>
      </c>
      <c r="AM1019">
        <v>20000</v>
      </c>
    </row>
    <row r="1020" spans="1:42">
      <c r="A1020" s="1">
        <f>HYPERLINK("https://lsnyc.legalserver.org/matter/dynamic-profile/view/1903468","19-1903468")</f>
        <v>0</v>
      </c>
      <c r="B1020" t="s">
        <v>107</v>
      </c>
      <c r="C1020" t="s">
        <v>206</v>
      </c>
      <c r="E1020" t="s">
        <v>588</v>
      </c>
      <c r="F1020" t="s">
        <v>1905</v>
      </c>
      <c r="G1020" t="s">
        <v>2889</v>
      </c>
      <c r="H1020" t="s">
        <v>3167</v>
      </c>
      <c r="I1020" t="s">
        <v>3494</v>
      </c>
      <c r="J1020">
        <v>10304</v>
      </c>
      <c r="K1020" t="s">
        <v>3522</v>
      </c>
      <c r="L1020" t="s">
        <v>3525</v>
      </c>
      <c r="M1020" t="s">
        <v>3957</v>
      </c>
      <c r="N1020" t="s">
        <v>4107</v>
      </c>
      <c r="O1020" t="s">
        <v>4134</v>
      </c>
      <c r="Q1020" t="s">
        <v>4147</v>
      </c>
      <c r="R1020" t="s">
        <v>3523</v>
      </c>
      <c r="T1020" t="s">
        <v>4156</v>
      </c>
      <c r="U1020" t="s">
        <v>4168</v>
      </c>
      <c r="V1020" t="s">
        <v>206</v>
      </c>
      <c r="W1020">
        <v>1200</v>
      </c>
      <c r="X1020" t="s">
        <v>4195</v>
      </c>
      <c r="Y1020" t="s">
        <v>4205</v>
      </c>
      <c r="Z1020" t="s">
        <v>5093</v>
      </c>
      <c r="AB1020" t="s">
        <v>6426</v>
      </c>
      <c r="AC1020">
        <v>2</v>
      </c>
      <c r="AD1020" t="s">
        <v>6771</v>
      </c>
      <c r="AE1020" t="s">
        <v>3526</v>
      </c>
      <c r="AF1020">
        <v>2</v>
      </c>
      <c r="AG1020">
        <v>1</v>
      </c>
      <c r="AH1020">
        <v>0</v>
      </c>
      <c r="AI1020">
        <v>160.13</v>
      </c>
      <c r="AL1020" t="s">
        <v>6801</v>
      </c>
      <c r="AM1020">
        <v>20000</v>
      </c>
    </row>
    <row r="1021" spans="1:42">
      <c r="A1021" s="1">
        <f>HYPERLINK("https://lsnyc.legalserver.org/matter/dynamic-profile/view/1914967","19-1914967")</f>
        <v>0</v>
      </c>
      <c r="B1021" t="s">
        <v>94</v>
      </c>
      <c r="C1021" t="s">
        <v>219</v>
      </c>
      <c r="E1021" t="s">
        <v>521</v>
      </c>
      <c r="F1021" t="s">
        <v>1398</v>
      </c>
      <c r="G1021" t="s">
        <v>2480</v>
      </c>
      <c r="H1021" t="s">
        <v>3199</v>
      </c>
      <c r="I1021" t="s">
        <v>3495</v>
      </c>
      <c r="J1021">
        <v>10035</v>
      </c>
      <c r="K1021" t="s">
        <v>3522</v>
      </c>
      <c r="L1021" t="s">
        <v>3525</v>
      </c>
      <c r="N1021" t="s">
        <v>4110</v>
      </c>
      <c r="O1021" t="s">
        <v>4134</v>
      </c>
      <c r="Q1021" t="s">
        <v>4147</v>
      </c>
      <c r="T1021" t="s">
        <v>4156</v>
      </c>
      <c r="U1021" t="s">
        <v>4168</v>
      </c>
      <c r="V1021" t="s">
        <v>219</v>
      </c>
      <c r="W1021">
        <v>552</v>
      </c>
      <c r="X1021" t="s">
        <v>4196</v>
      </c>
      <c r="Y1021" t="s">
        <v>4201</v>
      </c>
      <c r="Z1021" t="s">
        <v>5094</v>
      </c>
      <c r="AC1021">
        <v>60</v>
      </c>
      <c r="AD1021" t="s">
        <v>6772</v>
      </c>
      <c r="AE1021" t="s">
        <v>6786</v>
      </c>
      <c r="AF1021">
        <v>14</v>
      </c>
      <c r="AG1021">
        <v>1</v>
      </c>
      <c r="AH1021">
        <v>0</v>
      </c>
      <c r="AI1021">
        <v>160.13</v>
      </c>
      <c r="AL1021" t="s">
        <v>6801</v>
      </c>
      <c r="AM1021">
        <v>20000</v>
      </c>
    </row>
    <row r="1022" spans="1:42">
      <c r="A1022" s="1">
        <f>HYPERLINK("https://lsnyc.legalserver.org/matter/dynamic-profile/view/1914750","19-1914750")</f>
        <v>0</v>
      </c>
      <c r="B1022" t="s">
        <v>94</v>
      </c>
      <c r="C1022" t="s">
        <v>267</v>
      </c>
      <c r="E1022" t="s">
        <v>521</v>
      </c>
      <c r="F1022" t="s">
        <v>1398</v>
      </c>
      <c r="G1022" t="s">
        <v>2480</v>
      </c>
      <c r="H1022" t="s">
        <v>3199</v>
      </c>
      <c r="I1022" t="s">
        <v>3495</v>
      </c>
      <c r="J1022">
        <v>10035</v>
      </c>
      <c r="K1022" t="s">
        <v>3522</v>
      </c>
      <c r="L1022" t="s">
        <v>3525</v>
      </c>
      <c r="N1022" t="s">
        <v>4108</v>
      </c>
      <c r="O1022" t="s">
        <v>4134</v>
      </c>
      <c r="Q1022" t="s">
        <v>4147</v>
      </c>
      <c r="R1022" t="s">
        <v>3522</v>
      </c>
      <c r="T1022" t="s">
        <v>4156</v>
      </c>
      <c r="U1022" t="s">
        <v>4168</v>
      </c>
      <c r="V1022" t="s">
        <v>267</v>
      </c>
      <c r="W1022">
        <v>552</v>
      </c>
      <c r="X1022" t="s">
        <v>4196</v>
      </c>
      <c r="Y1022" t="s">
        <v>4201</v>
      </c>
      <c r="Z1022" t="s">
        <v>5094</v>
      </c>
      <c r="AC1022">
        <v>60</v>
      </c>
      <c r="AD1022" t="s">
        <v>6772</v>
      </c>
      <c r="AE1022" t="s">
        <v>6786</v>
      </c>
      <c r="AF1022">
        <v>14</v>
      </c>
      <c r="AG1022">
        <v>1</v>
      </c>
      <c r="AH1022">
        <v>0</v>
      </c>
      <c r="AI1022">
        <v>160.13</v>
      </c>
      <c r="AL1022" t="s">
        <v>6801</v>
      </c>
      <c r="AM1022">
        <v>20000</v>
      </c>
    </row>
    <row r="1023" spans="1:42">
      <c r="A1023" s="1">
        <f>HYPERLINK("https://lsnyc.legalserver.org/matter/dynamic-profile/view/1912617","19-1912617")</f>
        <v>0</v>
      </c>
      <c r="B1023" t="s">
        <v>90</v>
      </c>
      <c r="C1023" t="s">
        <v>178</v>
      </c>
      <c r="E1023" t="s">
        <v>393</v>
      </c>
      <c r="F1023" t="s">
        <v>1393</v>
      </c>
      <c r="G1023" t="s">
        <v>2890</v>
      </c>
      <c r="H1023" t="s">
        <v>3252</v>
      </c>
      <c r="I1023" t="s">
        <v>3495</v>
      </c>
      <c r="J1023">
        <v>10034</v>
      </c>
      <c r="K1023" t="s">
        <v>3522</v>
      </c>
      <c r="L1023" t="s">
        <v>3525</v>
      </c>
      <c r="O1023" t="s">
        <v>4135</v>
      </c>
      <c r="Q1023" t="s">
        <v>4147</v>
      </c>
      <c r="R1023" t="s">
        <v>3523</v>
      </c>
      <c r="T1023" t="s">
        <v>4156</v>
      </c>
      <c r="V1023" t="s">
        <v>178</v>
      </c>
      <c r="W1023">
        <v>1702.26</v>
      </c>
      <c r="X1023" t="s">
        <v>4196</v>
      </c>
      <c r="Y1023" t="s">
        <v>4201</v>
      </c>
      <c r="Z1023" t="s">
        <v>5095</v>
      </c>
      <c r="AB1023" t="s">
        <v>6427</v>
      </c>
      <c r="AC1023">
        <v>25</v>
      </c>
      <c r="AD1023" t="s">
        <v>6772</v>
      </c>
      <c r="AE1023" t="s">
        <v>3526</v>
      </c>
      <c r="AF1023">
        <v>6</v>
      </c>
      <c r="AG1023">
        <v>1</v>
      </c>
      <c r="AH1023">
        <v>0</v>
      </c>
      <c r="AI1023">
        <v>160.13</v>
      </c>
      <c r="AL1023" t="s">
        <v>6801</v>
      </c>
      <c r="AM1023">
        <v>20000</v>
      </c>
    </row>
    <row r="1024" spans="1:42">
      <c r="A1024" s="1">
        <f>HYPERLINK("https://lsnyc.legalserver.org/matter/dynamic-profile/view/1912252","19-1912252")</f>
        <v>0</v>
      </c>
      <c r="B1024" t="s">
        <v>45</v>
      </c>
      <c r="C1024" t="s">
        <v>256</v>
      </c>
      <c r="E1024" t="s">
        <v>642</v>
      </c>
      <c r="F1024" t="s">
        <v>1906</v>
      </c>
      <c r="G1024" t="s">
        <v>2165</v>
      </c>
      <c r="H1024" t="s">
        <v>3395</v>
      </c>
      <c r="I1024" t="s">
        <v>3479</v>
      </c>
      <c r="J1024">
        <v>11691</v>
      </c>
      <c r="K1024" t="s">
        <v>3522</v>
      </c>
      <c r="L1024" t="s">
        <v>3525</v>
      </c>
      <c r="M1024" t="s">
        <v>3679</v>
      </c>
      <c r="N1024" t="s">
        <v>4108</v>
      </c>
      <c r="O1024" t="s">
        <v>4134</v>
      </c>
      <c r="Q1024" t="s">
        <v>4147</v>
      </c>
      <c r="R1024" t="s">
        <v>3522</v>
      </c>
      <c r="T1024" t="s">
        <v>4156</v>
      </c>
      <c r="U1024" t="s">
        <v>4168</v>
      </c>
      <c r="V1024" t="s">
        <v>256</v>
      </c>
      <c r="W1024">
        <v>540</v>
      </c>
      <c r="X1024" t="s">
        <v>4192</v>
      </c>
      <c r="Y1024" t="s">
        <v>4198</v>
      </c>
      <c r="Z1024" t="s">
        <v>5096</v>
      </c>
      <c r="AB1024" t="s">
        <v>6428</v>
      </c>
      <c r="AC1024">
        <v>43</v>
      </c>
      <c r="AD1024" t="s">
        <v>6772</v>
      </c>
      <c r="AE1024" t="s">
        <v>3526</v>
      </c>
      <c r="AF1024">
        <v>40</v>
      </c>
      <c r="AG1024">
        <v>2</v>
      </c>
      <c r="AH1024">
        <v>0</v>
      </c>
      <c r="AI1024">
        <v>160.52</v>
      </c>
      <c r="AL1024" t="s">
        <v>6801</v>
      </c>
      <c r="AM1024">
        <v>27144</v>
      </c>
      <c r="AP1024" t="s">
        <v>4200</v>
      </c>
    </row>
    <row r="1025" spans="1:44">
      <c r="A1025" s="1">
        <f>HYPERLINK("https://lsnyc.legalserver.org/matter/dynamic-profile/view/1903859","19-1903859")</f>
        <v>0</v>
      </c>
      <c r="B1025" t="s">
        <v>161</v>
      </c>
      <c r="C1025" t="s">
        <v>259</v>
      </c>
      <c r="D1025" t="s">
        <v>242</v>
      </c>
      <c r="E1025" t="s">
        <v>521</v>
      </c>
      <c r="F1025" t="s">
        <v>1214</v>
      </c>
      <c r="G1025" t="s">
        <v>2891</v>
      </c>
      <c r="H1025">
        <v>10</v>
      </c>
      <c r="I1025" t="s">
        <v>3495</v>
      </c>
      <c r="J1025">
        <v>10025</v>
      </c>
      <c r="K1025" t="s">
        <v>3522</v>
      </c>
      <c r="L1025" t="s">
        <v>3525</v>
      </c>
      <c r="N1025" t="s">
        <v>4116</v>
      </c>
      <c r="O1025" t="s">
        <v>4133</v>
      </c>
      <c r="P1025" t="s">
        <v>4142</v>
      </c>
      <c r="Q1025" t="s">
        <v>4147</v>
      </c>
      <c r="R1025" t="s">
        <v>3523</v>
      </c>
      <c r="T1025" t="s">
        <v>4156</v>
      </c>
      <c r="U1025" t="s">
        <v>4168</v>
      </c>
      <c r="V1025" t="s">
        <v>259</v>
      </c>
      <c r="W1025">
        <v>679.8200000000001</v>
      </c>
      <c r="X1025" t="s">
        <v>4196</v>
      </c>
      <c r="Y1025" t="s">
        <v>4204</v>
      </c>
      <c r="Z1025" t="s">
        <v>5097</v>
      </c>
      <c r="AB1025" t="s">
        <v>6429</v>
      </c>
      <c r="AC1025">
        <v>16</v>
      </c>
      <c r="AD1025" t="s">
        <v>6780</v>
      </c>
      <c r="AE1025" t="s">
        <v>3526</v>
      </c>
      <c r="AF1025">
        <v>40</v>
      </c>
      <c r="AG1025">
        <v>1</v>
      </c>
      <c r="AH1025">
        <v>0</v>
      </c>
      <c r="AI1025">
        <v>160.92</v>
      </c>
      <c r="AL1025" t="s">
        <v>6802</v>
      </c>
      <c r="AM1025">
        <v>20098.56</v>
      </c>
    </row>
    <row r="1026" spans="1:44">
      <c r="A1026" s="1">
        <f>HYPERLINK("https://lsnyc.legalserver.org/matter/dynamic-profile/view/1906918","19-1906918")</f>
        <v>0</v>
      </c>
      <c r="B1026" t="s">
        <v>142</v>
      </c>
      <c r="C1026" t="s">
        <v>217</v>
      </c>
      <c r="D1026" t="s">
        <v>237</v>
      </c>
      <c r="E1026" t="s">
        <v>1040</v>
      </c>
      <c r="F1026" t="s">
        <v>1268</v>
      </c>
      <c r="G1026" t="s">
        <v>2892</v>
      </c>
      <c r="H1026" t="s">
        <v>3151</v>
      </c>
      <c r="I1026" t="s">
        <v>3493</v>
      </c>
      <c r="J1026">
        <v>10457</v>
      </c>
      <c r="K1026" t="s">
        <v>3522</v>
      </c>
      <c r="L1026" t="s">
        <v>3525</v>
      </c>
      <c r="M1026" t="s">
        <v>3958</v>
      </c>
      <c r="N1026" t="s">
        <v>3554</v>
      </c>
      <c r="O1026" t="s">
        <v>4135</v>
      </c>
      <c r="P1026" t="s">
        <v>4142</v>
      </c>
      <c r="Q1026" t="s">
        <v>4147</v>
      </c>
      <c r="R1026" t="s">
        <v>3523</v>
      </c>
      <c r="T1026" t="s">
        <v>4156</v>
      </c>
      <c r="V1026" t="s">
        <v>318</v>
      </c>
      <c r="W1026">
        <v>873</v>
      </c>
      <c r="X1026" t="s">
        <v>4194</v>
      </c>
      <c r="Y1026" t="s">
        <v>4205</v>
      </c>
      <c r="Z1026" t="s">
        <v>5098</v>
      </c>
      <c r="AB1026" t="s">
        <v>6430</v>
      </c>
      <c r="AC1026">
        <v>0</v>
      </c>
      <c r="AD1026" t="s">
        <v>6772</v>
      </c>
      <c r="AE1026" t="s">
        <v>3526</v>
      </c>
      <c r="AF1026">
        <v>6</v>
      </c>
      <c r="AG1026">
        <v>1</v>
      </c>
      <c r="AH1026">
        <v>0</v>
      </c>
      <c r="AI1026">
        <v>160.93</v>
      </c>
      <c r="AL1026" t="s">
        <v>6801</v>
      </c>
      <c r="AM1026">
        <v>20100</v>
      </c>
    </row>
    <row r="1027" spans="1:44">
      <c r="A1027" s="1">
        <f>HYPERLINK("https://lsnyc.legalserver.org/matter/dynamic-profile/view/1903779","19-1903779")</f>
        <v>0</v>
      </c>
      <c r="B1027" t="s">
        <v>164</v>
      </c>
      <c r="C1027" t="s">
        <v>336</v>
      </c>
      <c r="D1027" t="s">
        <v>297</v>
      </c>
      <c r="E1027" t="s">
        <v>1041</v>
      </c>
      <c r="F1027" t="s">
        <v>1907</v>
      </c>
      <c r="G1027" t="s">
        <v>2893</v>
      </c>
      <c r="H1027" t="s">
        <v>3135</v>
      </c>
      <c r="I1027" t="s">
        <v>3495</v>
      </c>
      <c r="J1027">
        <v>10027</v>
      </c>
      <c r="K1027" t="s">
        <v>3522</v>
      </c>
      <c r="L1027" t="s">
        <v>3525</v>
      </c>
      <c r="M1027" t="s">
        <v>3959</v>
      </c>
      <c r="N1027" t="s">
        <v>4119</v>
      </c>
      <c r="O1027" t="s">
        <v>4134</v>
      </c>
      <c r="P1027" t="s">
        <v>4140</v>
      </c>
      <c r="Q1027" t="s">
        <v>4147</v>
      </c>
      <c r="R1027" t="s">
        <v>3523</v>
      </c>
      <c r="T1027" t="s">
        <v>4166</v>
      </c>
      <c r="V1027" t="s">
        <v>274</v>
      </c>
      <c r="W1027">
        <v>0</v>
      </c>
      <c r="X1027" t="s">
        <v>4196</v>
      </c>
      <c r="Z1027" t="s">
        <v>5099</v>
      </c>
      <c r="AB1027" t="s">
        <v>6431</v>
      </c>
      <c r="AC1027">
        <v>0</v>
      </c>
      <c r="AF1027">
        <v>11</v>
      </c>
      <c r="AG1027">
        <v>7</v>
      </c>
      <c r="AH1027">
        <v>1</v>
      </c>
      <c r="AI1027">
        <v>161.18</v>
      </c>
      <c r="AL1027" t="s">
        <v>6801</v>
      </c>
      <c r="AM1027">
        <v>70000</v>
      </c>
      <c r="AR1027" t="s">
        <v>7007</v>
      </c>
    </row>
    <row r="1028" spans="1:44">
      <c r="A1028" s="1">
        <f>HYPERLINK("https://lsnyc.legalserver.org/matter/dynamic-profile/view/1904718","19-1904718")</f>
        <v>0</v>
      </c>
      <c r="B1028" t="s">
        <v>129</v>
      </c>
      <c r="C1028" t="s">
        <v>246</v>
      </c>
      <c r="E1028" t="s">
        <v>1042</v>
      </c>
      <c r="F1028" t="s">
        <v>1908</v>
      </c>
      <c r="G1028" t="s">
        <v>2244</v>
      </c>
      <c r="H1028" t="s">
        <v>3175</v>
      </c>
      <c r="I1028" t="s">
        <v>3495</v>
      </c>
      <c r="J1028">
        <v>10040</v>
      </c>
      <c r="K1028" t="s">
        <v>3522</v>
      </c>
      <c r="L1028" t="s">
        <v>3525</v>
      </c>
      <c r="N1028" t="s">
        <v>4113</v>
      </c>
      <c r="O1028" t="s">
        <v>4135</v>
      </c>
      <c r="Q1028" t="s">
        <v>4147</v>
      </c>
      <c r="R1028" t="s">
        <v>3523</v>
      </c>
      <c r="T1028" t="s">
        <v>4156</v>
      </c>
      <c r="V1028" t="s">
        <v>246</v>
      </c>
      <c r="W1028">
        <v>1116.26</v>
      </c>
      <c r="X1028" t="s">
        <v>4196</v>
      </c>
      <c r="Y1028" t="s">
        <v>4205</v>
      </c>
      <c r="Z1028" t="s">
        <v>5100</v>
      </c>
      <c r="AB1028" t="s">
        <v>6432</v>
      </c>
      <c r="AC1028">
        <v>42</v>
      </c>
      <c r="AD1028" t="s">
        <v>6772</v>
      </c>
      <c r="AE1028" t="s">
        <v>3526</v>
      </c>
      <c r="AF1028">
        <v>22</v>
      </c>
      <c r="AG1028">
        <v>2</v>
      </c>
      <c r="AH1028">
        <v>0</v>
      </c>
      <c r="AI1028">
        <v>161.44</v>
      </c>
      <c r="AL1028" t="s">
        <v>6802</v>
      </c>
      <c r="AM1028">
        <v>27300</v>
      </c>
    </row>
    <row r="1029" spans="1:44">
      <c r="A1029" s="1">
        <f>HYPERLINK("https://lsnyc.legalserver.org/matter/dynamic-profile/view/1910038","19-1910038")</f>
        <v>0</v>
      </c>
      <c r="B1029" t="s">
        <v>59</v>
      </c>
      <c r="C1029" t="s">
        <v>230</v>
      </c>
      <c r="D1029" t="s">
        <v>299</v>
      </c>
      <c r="E1029" t="s">
        <v>503</v>
      </c>
      <c r="F1029" t="s">
        <v>1407</v>
      </c>
      <c r="G1029" t="s">
        <v>2894</v>
      </c>
      <c r="I1029" t="s">
        <v>3490</v>
      </c>
      <c r="J1029">
        <v>11212</v>
      </c>
      <c r="K1029" t="s">
        <v>3522</v>
      </c>
      <c r="L1029" t="s">
        <v>3525</v>
      </c>
      <c r="M1029" t="s">
        <v>3960</v>
      </c>
      <c r="N1029" t="s">
        <v>4107</v>
      </c>
      <c r="O1029" t="s">
        <v>4135</v>
      </c>
      <c r="P1029" t="s">
        <v>4142</v>
      </c>
      <c r="Q1029" t="s">
        <v>4147</v>
      </c>
      <c r="R1029" t="s">
        <v>3523</v>
      </c>
      <c r="T1029" t="s">
        <v>4156</v>
      </c>
      <c r="U1029" t="s">
        <v>4168</v>
      </c>
      <c r="V1029" t="s">
        <v>177</v>
      </c>
      <c r="W1029">
        <v>900</v>
      </c>
      <c r="X1029" t="s">
        <v>4193</v>
      </c>
      <c r="Y1029" t="s">
        <v>4200</v>
      </c>
      <c r="Z1029" t="s">
        <v>5101</v>
      </c>
      <c r="AA1029" t="s">
        <v>5488</v>
      </c>
      <c r="AB1029" t="s">
        <v>6433</v>
      </c>
      <c r="AC1029">
        <v>2</v>
      </c>
      <c r="AD1029" t="s">
        <v>6771</v>
      </c>
      <c r="AE1029" t="s">
        <v>4200</v>
      </c>
      <c r="AF1029">
        <v>17</v>
      </c>
      <c r="AG1029">
        <v>3</v>
      </c>
      <c r="AH1029">
        <v>1</v>
      </c>
      <c r="AI1029">
        <v>161.48</v>
      </c>
      <c r="AL1029" t="s">
        <v>6801</v>
      </c>
      <c r="AM1029">
        <v>41580</v>
      </c>
    </row>
    <row r="1030" spans="1:44">
      <c r="A1030" s="1">
        <f>HYPERLINK("https://lsnyc.legalserver.org/matter/dynamic-profile/view/1897303","19-1897303")</f>
        <v>0</v>
      </c>
      <c r="B1030" t="s">
        <v>60</v>
      </c>
      <c r="C1030" t="s">
        <v>357</v>
      </c>
      <c r="E1030" t="s">
        <v>1043</v>
      </c>
      <c r="F1030" t="s">
        <v>723</v>
      </c>
      <c r="G1030" t="s">
        <v>2895</v>
      </c>
      <c r="H1030" t="s">
        <v>3220</v>
      </c>
      <c r="I1030" t="s">
        <v>3490</v>
      </c>
      <c r="J1030">
        <v>11207</v>
      </c>
      <c r="K1030" t="s">
        <v>3522</v>
      </c>
      <c r="L1030" t="s">
        <v>3525</v>
      </c>
      <c r="M1030" t="s">
        <v>3961</v>
      </c>
      <c r="N1030" t="s">
        <v>4107</v>
      </c>
      <c r="O1030" t="s">
        <v>4134</v>
      </c>
      <c r="Q1030" t="s">
        <v>4147</v>
      </c>
      <c r="R1030" t="s">
        <v>3523</v>
      </c>
      <c r="T1030" t="s">
        <v>4156</v>
      </c>
      <c r="U1030" t="s">
        <v>4168</v>
      </c>
      <c r="V1030" t="s">
        <v>336</v>
      </c>
      <c r="W1030">
        <v>1445</v>
      </c>
      <c r="X1030" t="s">
        <v>4193</v>
      </c>
      <c r="Y1030" t="s">
        <v>4201</v>
      </c>
      <c r="Z1030" t="s">
        <v>5102</v>
      </c>
      <c r="AB1030" t="s">
        <v>6434</v>
      </c>
      <c r="AC1030">
        <v>12</v>
      </c>
      <c r="AD1030" t="s">
        <v>6772</v>
      </c>
      <c r="AE1030" t="s">
        <v>3526</v>
      </c>
      <c r="AF1030">
        <v>12</v>
      </c>
      <c r="AG1030">
        <v>2</v>
      </c>
      <c r="AH1030">
        <v>4</v>
      </c>
      <c r="AI1030">
        <v>161.9</v>
      </c>
      <c r="AL1030" t="s">
        <v>6801</v>
      </c>
      <c r="AM1030">
        <v>56000</v>
      </c>
    </row>
    <row r="1031" spans="1:44">
      <c r="A1031" s="1">
        <f>HYPERLINK("https://lsnyc.legalserver.org/matter/dynamic-profile/view/1909921","19-1909921")</f>
        <v>0</v>
      </c>
      <c r="B1031" t="s">
        <v>105</v>
      </c>
      <c r="C1031" t="s">
        <v>230</v>
      </c>
      <c r="E1031" t="s">
        <v>390</v>
      </c>
      <c r="F1031" t="s">
        <v>1909</v>
      </c>
      <c r="G1031" t="s">
        <v>2896</v>
      </c>
      <c r="I1031" t="s">
        <v>3494</v>
      </c>
      <c r="J1031">
        <v>10301</v>
      </c>
      <c r="K1031" t="s">
        <v>3522</v>
      </c>
      <c r="L1031" t="s">
        <v>3525</v>
      </c>
      <c r="M1031" t="s">
        <v>3962</v>
      </c>
      <c r="N1031" t="s">
        <v>4109</v>
      </c>
      <c r="O1031" t="s">
        <v>4134</v>
      </c>
      <c r="Q1031" t="s">
        <v>4147</v>
      </c>
      <c r="R1031" t="s">
        <v>3523</v>
      </c>
      <c r="T1031" t="s">
        <v>4156</v>
      </c>
      <c r="U1031" t="s">
        <v>4168</v>
      </c>
      <c r="V1031" t="s">
        <v>341</v>
      </c>
      <c r="W1031">
        <v>2500</v>
      </c>
      <c r="X1031" t="s">
        <v>4195</v>
      </c>
      <c r="Y1031" t="s">
        <v>4205</v>
      </c>
      <c r="Z1031" t="s">
        <v>5103</v>
      </c>
      <c r="AB1031" t="s">
        <v>6435</v>
      </c>
      <c r="AC1031">
        <v>1</v>
      </c>
      <c r="AD1031" t="s">
        <v>6771</v>
      </c>
      <c r="AF1031">
        <v>1</v>
      </c>
      <c r="AG1031">
        <v>1</v>
      </c>
      <c r="AH1031">
        <v>0</v>
      </c>
      <c r="AI1031">
        <v>162.37</v>
      </c>
      <c r="AL1031" t="s">
        <v>6801</v>
      </c>
      <c r="AM1031">
        <v>20280</v>
      </c>
    </row>
    <row r="1032" spans="1:44">
      <c r="A1032" s="1">
        <f>HYPERLINK("https://lsnyc.legalserver.org/matter/dynamic-profile/view/1907837","19-1907837")</f>
        <v>0</v>
      </c>
      <c r="B1032" t="s">
        <v>47</v>
      </c>
      <c r="C1032" t="s">
        <v>298</v>
      </c>
      <c r="E1032" t="s">
        <v>1044</v>
      </c>
      <c r="F1032" t="s">
        <v>1910</v>
      </c>
      <c r="G1032" t="s">
        <v>2614</v>
      </c>
      <c r="H1032" t="s">
        <v>3141</v>
      </c>
      <c r="I1032" t="s">
        <v>3486</v>
      </c>
      <c r="J1032">
        <v>11377</v>
      </c>
      <c r="K1032" t="s">
        <v>3522</v>
      </c>
      <c r="L1032" t="s">
        <v>3525</v>
      </c>
      <c r="M1032" t="s">
        <v>3792</v>
      </c>
      <c r="N1032" t="s">
        <v>4110</v>
      </c>
      <c r="O1032" t="s">
        <v>4137</v>
      </c>
      <c r="Q1032" t="s">
        <v>4147</v>
      </c>
      <c r="R1032" t="s">
        <v>3522</v>
      </c>
      <c r="T1032" t="s">
        <v>4156</v>
      </c>
      <c r="U1032" t="s">
        <v>4168</v>
      </c>
      <c r="V1032" t="s">
        <v>298</v>
      </c>
      <c r="W1032">
        <v>892.88</v>
      </c>
      <c r="X1032" t="s">
        <v>4192</v>
      </c>
      <c r="Y1032" t="s">
        <v>4206</v>
      </c>
      <c r="Z1032" t="s">
        <v>5104</v>
      </c>
      <c r="AA1032" t="s">
        <v>5636</v>
      </c>
      <c r="AB1032" t="s">
        <v>6436</v>
      </c>
      <c r="AC1032">
        <v>67</v>
      </c>
      <c r="AD1032" t="s">
        <v>6772</v>
      </c>
      <c r="AE1032" t="s">
        <v>6791</v>
      </c>
      <c r="AF1032">
        <v>61</v>
      </c>
      <c r="AG1032">
        <v>1</v>
      </c>
      <c r="AH1032">
        <v>0</v>
      </c>
      <c r="AI1032">
        <v>162.66</v>
      </c>
      <c r="AL1032" t="s">
        <v>6801</v>
      </c>
      <c r="AM1032">
        <v>20316</v>
      </c>
      <c r="AP1032" t="s">
        <v>4200</v>
      </c>
    </row>
    <row r="1033" spans="1:44">
      <c r="A1033" s="1">
        <f>HYPERLINK("https://lsnyc.legalserver.org/matter/dynamic-profile/view/1907844","19-1907844")</f>
        <v>0</v>
      </c>
      <c r="B1033" t="s">
        <v>47</v>
      </c>
      <c r="C1033" t="s">
        <v>298</v>
      </c>
      <c r="E1033" t="s">
        <v>1044</v>
      </c>
      <c r="F1033" t="s">
        <v>1910</v>
      </c>
      <c r="G1033" t="s">
        <v>2614</v>
      </c>
      <c r="H1033" t="s">
        <v>3141</v>
      </c>
      <c r="I1033" t="s">
        <v>3486</v>
      </c>
      <c r="J1033">
        <v>11377</v>
      </c>
      <c r="K1033" t="s">
        <v>3522</v>
      </c>
      <c r="L1033" t="s">
        <v>3525</v>
      </c>
      <c r="M1033" t="s">
        <v>3793</v>
      </c>
      <c r="N1033" t="s">
        <v>4110</v>
      </c>
      <c r="O1033" t="s">
        <v>4137</v>
      </c>
      <c r="Q1033" t="s">
        <v>4147</v>
      </c>
      <c r="R1033" t="s">
        <v>3523</v>
      </c>
      <c r="T1033" t="s">
        <v>4156</v>
      </c>
      <c r="V1033" t="s">
        <v>4183</v>
      </c>
      <c r="W1033">
        <v>892.58</v>
      </c>
      <c r="X1033" t="s">
        <v>4192</v>
      </c>
      <c r="Y1033" t="s">
        <v>4206</v>
      </c>
      <c r="Z1033" t="s">
        <v>5104</v>
      </c>
      <c r="AA1033" t="s">
        <v>5636</v>
      </c>
      <c r="AB1033" t="s">
        <v>6436</v>
      </c>
      <c r="AC1033">
        <v>67</v>
      </c>
      <c r="AD1033" t="s">
        <v>6772</v>
      </c>
      <c r="AE1033" t="s">
        <v>6791</v>
      </c>
      <c r="AF1033">
        <v>61</v>
      </c>
      <c r="AG1033">
        <v>1</v>
      </c>
      <c r="AH1033">
        <v>0</v>
      </c>
      <c r="AI1033">
        <v>162.66</v>
      </c>
      <c r="AL1033" t="s">
        <v>6801</v>
      </c>
      <c r="AM1033">
        <v>20316</v>
      </c>
    </row>
    <row r="1034" spans="1:44">
      <c r="A1034" s="1">
        <f>HYPERLINK("https://lsnyc.legalserver.org/matter/dynamic-profile/view/1902243","19-1902243")</f>
        <v>0</v>
      </c>
      <c r="B1034" t="s">
        <v>61</v>
      </c>
      <c r="C1034" t="s">
        <v>358</v>
      </c>
      <c r="D1034" t="s">
        <v>247</v>
      </c>
      <c r="E1034" t="s">
        <v>1045</v>
      </c>
      <c r="F1034" t="s">
        <v>1131</v>
      </c>
      <c r="G1034" t="s">
        <v>2897</v>
      </c>
      <c r="H1034" t="s">
        <v>3396</v>
      </c>
      <c r="I1034" t="s">
        <v>3490</v>
      </c>
      <c r="J1034">
        <v>11234</v>
      </c>
      <c r="K1034" t="s">
        <v>3522</v>
      </c>
      <c r="L1034" t="s">
        <v>3527</v>
      </c>
      <c r="M1034" t="s">
        <v>3963</v>
      </c>
      <c r="N1034" t="s">
        <v>4108</v>
      </c>
      <c r="O1034" t="s">
        <v>4132</v>
      </c>
      <c r="P1034" t="s">
        <v>4139</v>
      </c>
      <c r="Q1034" t="s">
        <v>4147</v>
      </c>
      <c r="R1034" t="s">
        <v>3523</v>
      </c>
      <c r="T1034" t="s">
        <v>4156</v>
      </c>
      <c r="U1034" t="s">
        <v>4168</v>
      </c>
      <c r="V1034" t="s">
        <v>336</v>
      </c>
      <c r="W1034">
        <v>0</v>
      </c>
      <c r="X1034" t="s">
        <v>4193</v>
      </c>
      <c r="Y1034" t="s">
        <v>4197</v>
      </c>
      <c r="Z1034" t="s">
        <v>5105</v>
      </c>
      <c r="AA1034" t="s">
        <v>5637</v>
      </c>
      <c r="AB1034" t="s">
        <v>5951</v>
      </c>
      <c r="AC1034">
        <v>710</v>
      </c>
      <c r="AD1034" t="s">
        <v>5524</v>
      </c>
      <c r="AE1034" t="s">
        <v>3526</v>
      </c>
      <c r="AF1034">
        <v>0</v>
      </c>
      <c r="AG1034">
        <v>1</v>
      </c>
      <c r="AH1034">
        <v>1</v>
      </c>
      <c r="AI1034">
        <v>162.67</v>
      </c>
      <c r="AL1034" t="s">
        <v>6801</v>
      </c>
      <c r="AM1034">
        <v>27508</v>
      </c>
    </row>
    <row r="1035" spans="1:44">
      <c r="A1035" s="1">
        <f>HYPERLINK("https://lsnyc.legalserver.org/matter/dynamic-profile/view/1905584","19-1905584")</f>
        <v>0</v>
      </c>
      <c r="B1035" t="s">
        <v>44</v>
      </c>
      <c r="C1035" t="s">
        <v>312</v>
      </c>
      <c r="E1035" t="s">
        <v>482</v>
      </c>
      <c r="F1035" t="s">
        <v>1327</v>
      </c>
      <c r="G1035" t="s">
        <v>2898</v>
      </c>
      <c r="H1035" t="s">
        <v>3146</v>
      </c>
      <c r="I1035" t="s">
        <v>3505</v>
      </c>
      <c r="J1035">
        <v>11365</v>
      </c>
      <c r="K1035" t="s">
        <v>3522</v>
      </c>
      <c r="L1035" t="s">
        <v>3525</v>
      </c>
      <c r="M1035" t="s">
        <v>3964</v>
      </c>
      <c r="N1035" t="s">
        <v>4107</v>
      </c>
      <c r="O1035" t="s">
        <v>4134</v>
      </c>
      <c r="Q1035" t="s">
        <v>4148</v>
      </c>
      <c r="R1035" t="s">
        <v>3523</v>
      </c>
      <c r="T1035" t="s">
        <v>4156</v>
      </c>
      <c r="U1035" t="s">
        <v>4167</v>
      </c>
      <c r="V1035" t="s">
        <v>206</v>
      </c>
      <c r="W1035">
        <v>1350</v>
      </c>
      <c r="X1035" t="s">
        <v>4192</v>
      </c>
      <c r="Y1035" t="s">
        <v>4199</v>
      </c>
      <c r="Z1035" t="s">
        <v>5106</v>
      </c>
      <c r="AA1035" t="s">
        <v>3526</v>
      </c>
      <c r="AB1035" t="s">
        <v>6437</v>
      </c>
      <c r="AC1035">
        <v>5</v>
      </c>
      <c r="AD1035" t="s">
        <v>6771</v>
      </c>
      <c r="AE1035" t="s">
        <v>3526</v>
      </c>
      <c r="AF1035">
        <v>9</v>
      </c>
      <c r="AG1035">
        <v>1</v>
      </c>
      <c r="AH1035">
        <v>0</v>
      </c>
      <c r="AI1035">
        <v>163.33</v>
      </c>
      <c r="AJ1035" t="s">
        <v>6795</v>
      </c>
      <c r="AK1035" t="s">
        <v>6798</v>
      </c>
      <c r="AL1035" t="s">
        <v>6801</v>
      </c>
      <c r="AM1035">
        <v>20400</v>
      </c>
      <c r="AO1035" t="s">
        <v>6918</v>
      </c>
      <c r="AP1035" t="s">
        <v>4200</v>
      </c>
      <c r="AQ1035" t="s">
        <v>6946</v>
      </c>
      <c r="AR1035" t="s">
        <v>7008</v>
      </c>
    </row>
    <row r="1036" spans="1:44">
      <c r="A1036" s="1">
        <f>HYPERLINK("https://lsnyc.legalserver.org/matter/dynamic-profile/view/1907066","19-1907066")</f>
        <v>0</v>
      </c>
      <c r="B1036" t="s">
        <v>90</v>
      </c>
      <c r="C1036" t="s">
        <v>244</v>
      </c>
      <c r="E1036" t="s">
        <v>728</v>
      </c>
      <c r="F1036" t="s">
        <v>1911</v>
      </c>
      <c r="G1036" t="s">
        <v>2885</v>
      </c>
      <c r="H1036" t="s">
        <v>3283</v>
      </c>
      <c r="I1036" t="s">
        <v>3495</v>
      </c>
      <c r="J1036">
        <v>10034</v>
      </c>
      <c r="K1036" t="s">
        <v>3522</v>
      </c>
      <c r="L1036" t="s">
        <v>3525</v>
      </c>
      <c r="N1036" t="s">
        <v>3554</v>
      </c>
      <c r="O1036" t="s">
        <v>4135</v>
      </c>
      <c r="Q1036" t="s">
        <v>4147</v>
      </c>
      <c r="R1036" t="s">
        <v>3523</v>
      </c>
      <c r="T1036" t="s">
        <v>4156</v>
      </c>
      <c r="V1036" t="s">
        <v>244</v>
      </c>
      <c r="W1036">
        <v>1220</v>
      </c>
      <c r="X1036" t="s">
        <v>4196</v>
      </c>
      <c r="Y1036" t="s">
        <v>4201</v>
      </c>
      <c r="Z1036" t="s">
        <v>5107</v>
      </c>
      <c r="AB1036" t="s">
        <v>6438</v>
      </c>
      <c r="AC1036">
        <v>70</v>
      </c>
      <c r="AD1036" t="s">
        <v>6772</v>
      </c>
      <c r="AE1036" t="s">
        <v>3526</v>
      </c>
      <c r="AF1036">
        <v>33</v>
      </c>
      <c r="AG1036">
        <v>1</v>
      </c>
      <c r="AH1036">
        <v>0</v>
      </c>
      <c r="AI1036">
        <v>163.33</v>
      </c>
      <c r="AL1036" t="s">
        <v>6802</v>
      </c>
      <c r="AM1036">
        <v>20400</v>
      </c>
    </row>
    <row r="1037" spans="1:44">
      <c r="A1037" s="1">
        <f>HYPERLINK("https://lsnyc.legalserver.org/matter/dynamic-profile/view/1907775","19-1907775")</f>
        <v>0</v>
      </c>
      <c r="B1037" t="s">
        <v>88</v>
      </c>
      <c r="C1037" t="s">
        <v>222</v>
      </c>
      <c r="D1037" t="s">
        <v>247</v>
      </c>
      <c r="E1037" t="s">
        <v>728</v>
      </c>
      <c r="F1037" t="s">
        <v>1911</v>
      </c>
      <c r="G1037" t="s">
        <v>2885</v>
      </c>
      <c r="H1037" t="s">
        <v>3283</v>
      </c>
      <c r="I1037" t="s">
        <v>3495</v>
      </c>
      <c r="J1037">
        <v>10034</v>
      </c>
      <c r="K1037" t="s">
        <v>3522</v>
      </c>
      <c r="L1037" t="s">
        <v>3525</v>
      </c>
      <c r="N1037" t="s">
        <v>4116</v>
      </c>
      <c r="O1037" t="s">
        <v>4132</v>
      </c>
      <c r="P1037" t="s">
        <v>4139</v>
      </c>
      <c r="Q1037" t="s">
        <v>4147</v>
      </c>
      <c r="R1037" t="s">
        <v>3523</v>
      </c>
      <c r="T1037" t="s">
        <v>4162</v>
      </c>
      <c r="V1037" t="s">
        <v>222</v>
      </c>
      <c r="W1037">
        <v>1200</v>
      </c>
      <c r="X1037" t="s">
        <v>4196</v>
      </c>
      <c r="Y1037" t="s">
        <v>4205</v>
      </c>
      <c r="Z1037" t="s">
        <v>5107</v>
      </c>
      <c r="AB1037" t="s">
        <v>6438</v>
      </c>
      <c r="AC1037">
        <v>0</v>
      </c>
      <c r="AD1037" t="s">
        <v>5524</v>
      </c>
      <c r="AE1037" t="s">
        <v>6791</v>
      </c>
      <c r="AF1037">
        <v>33</v>
      </c>
      <c r="AG1037">
        <v>1</v>
      </c>
      <c r="AH1037">
        <v>0</v>
      </c>
      <c r="AI1037">
        <v>163.33</v>
      </c>
      <c r="AL1037" t="s">
        <v>6802</v>
      </c>
      <c r="AM1037">
        <v>20400</v>
      </c>
    </row>
    <row r="1038" spans="1:44">
      <c r="A1038" s="1">
        <f>HYPERLINK("https://lsnyc.legalserver.org/matter/dynamic-profile/view/1909597","19-1909597")</f>
        <v>0</v>
      </c>
      <c r="B1038" t="s">
        <v>94</v>
      </c>
      <c r="C1038" t="s">
        <v>231</v>
      </c>
      <c r="E1038" t="s">
        <v>399</v>
      </c>
      <c r="F1038" t="s">
        <v>588</v>
      </c>
      <c r="G1038" t="s">
        <v>2480</v>
      </c>
      <c r="H1038" t="s">
        <v>3155</v>
      </c>
      <c r="I1038" t="s">
        <v>3495</v>
      </c>
      <c r="J1038">
        <v>10035</v>
      </c>
      <c r="K1038" t="s">
        <v>3522</v>
      </c>
      <c r="L1038" t="s">
        <v>3525</v>
      </c>
      <c r="M1038" t="s">
        <v>3930</v>
      </c>
      <c r="N1038" t="s">
        <v>4108</v>
      </c>
      <c r="O1038" t="s">
        <v>4134</v>
      </c>
      <c r="Q1038" t="s">
        <v>4147</v>
      </c>
      <c r="R1038" t="s">
        <v>3522</v>
      </c>
      <c r="T1038" t="s">
        <v>4156</v>
      </c>
      <c r="U1038" t="s">
        <v>4168</v>
      </c>
      <c r="V1038" t="s">
        <v>184</v>
      </c>
      <c r="W1038">
        <v>793</v>
      </c>
      <c r="X1038" t="s">
        <v>4196</v>
      </c>
      <c r="Y1038" t="s">
        <v>4200</v>
      </c>
      <c r="Z1038" t="s">
        <v>5108</v>
      </c>
      <c r="AB1038" t="s">
        <v>6439</v>
      </c>
      <c r="AC1038">
        <v>60</v>
      </c>
      <c r="AD1038" t="s">
        <v>6772</v>
      </c>
      <c r="AE1038" t="s">
        <v>6786</v>
      </c>
      <c r="AF1038">
        <v>14</v>
      </c>
      <c r="AG1038">
        <v>2</v>
      </c>
      <c r="AH1038">
        <v>1</v>
      </c>
      <c r="AI1038">
        <v>164.09</v>
      </c>
      <c r="AL1038" t="s">
        <v>6801</v>
      </c>
      <c r="AM1038">
        <v>35000</v>
      </c>
    </row>
    <row r="1039" spans="1:44">
      <c r="A1039" s="1">
        <f>HYPERLINK("https://lsnyc.legalserver.org/matter/dynamic-profile/view/1906762","19-1906762")</f>
        <v>0</v>
      </c>
      <c r="B1039" t="s">
        <v>123</v>
      </c>
      <c r="C1039" t="s">
        <v>235</v>
      </c>
      <c r="D1039" t="s">
        <v>258</v>
      </c>
      <c r="E1039" t="s">
        <v>1046</v>
      </c>
      <c r="F1039" t="s">
        <v>1912</v>
      </c>
      <c r="G1039" t="s">
        <v>2852</v>
      </c>
      <c r="H1039">
        <v>12</v>
      </c>
      <c r="I1039" t="s">
        <v>3495</v>
      </c>
      <c r="J1039">
        <v>10034</v>
      </c>
      <c r="K1039" t="s">
        <v>3522</v>
      </c>
      <c r="L1039" t="s">
        <v>3525</v>
      </c>
      <c r="M1039" t="s">
        <v>3965</v>
      </c>
      <c r="N1039" t="s">
        <v>4109</v>
      </c>
      <c r="O1039" t="s">
        <v>4134</v>
      </c>
      <c r="P1039" t="s">
        <v>4140</v>
      </c>
      <c r="Q1039" t="s">
        <v>4147</v>
      </c>
      <c r="R1039" t="s">
        <v>3523</v>
      </c>
      <c r="T1039" t="s">
        <v>4156</v>
      </c>
      <c r="U1039" t="s">
        <v>4168</v>
      </c>
      <c r="V1039" t="s">
        <v>235</v>
      </c>
      <c r="W1039">
        <v>889</v>
      </c>
      <c r="X1039" t="s">
        <v>4196</v>
      </c>
      <c r="Y1039" t="s">
        <v>4201</v>
      </c>
      <c r="Z1039" t="s">
        <v>5109</v>
      </c>
      <c r="AB1039" t="s">
        <v>6440</v>
      </c>
      <c r="AC1039">
        <v>22</v>
      </c>
      <c r="AD1039" t="s">
        <v>6772</v>
      </c>
      <c r="AE1039" t="s">
        <v>6786</v>
      </c>
      <c r="AF1039">
        <v>27</v>
      </c>
      <c r="AG1039">
        <v>3</v>
      </c>
      <c r="AH1039">
        <v>0</v>
      </c>
      <c r="AI1039">
        <v>164.41</v>
      </c>
      <c r="AL1039" t="s">
        <v>6802</v>
      </c>
      <c r="AM1039">
        <v>35068.8</v>
      </c>
    </row>
    <row r="1040" spans="1:44">
      <c r="A1040" s="1">
        <f>HYPERLINK("https://lsnyc.legalserver.org/matter/dynamic-profile/view/1906683","19-1906683")</f>
        <v>0</v>
      </c>
      <c r="B1040" t="s">
        <v>83</v>
      </c>
      <c r="C1040" t="s">
        <v>250</v>
      </c>
      <c r="E1040" t="s">
        <v>1047</v>
      </c>
      <c r="F1040" t="s">
        <v>1913</v>
      </c>
      <c r="G1040" t="s">
        <v>2899</v>
      </c>
      <c r="H1040" t="s">
        <v>3176</v>
      </c>
      <c r="I1040" t="s">
        <v>3493</v>
      </c>
      <c r="J1040">
        <v>10462</v>
      </c>
      <c r="K1040" t="s">
        <v>3522</v>
      </c>
      <c r="L1040" t="s">
        <v>3525</v>
      </c>
      <c r="M1040" t="s">
        <v>3966</v>
      </c>
      <c r="N1040" t="s">
        <v>4128</v>
      </c>
      <c r="O1040" t="s">
        <v>4137</v>
      </c>
      <c r="Q1040" t="s">
        <v>4147</v>
      </c>
      <c r="R1040" t="s">
        <v>3523</v>
      </c>
      <c r="T1040" t="s">
        <v>4164</v>
      </c>
      <c r="V1040" t="s">
        <v>314</v>
      </c>
      <c r="W1040">
        <v>1600</v>
      </c>
      <c r="X1040" t="s">
        <v>4194</v>
      </c>
      <c r="Y1040" t="s">
        <v>4212</v>
      </c>
      <c r="Z1040" t="s">
        <v>5110</v>
      </c>
      <c r="AB1040" t="s">
        <v>6441</v>
      </c>
      <c r="AC1040">
        <v>40</v>
      </c>
      <c r="AD1040" t="s">
        <v>5524</v>
      </c>
      <c r="AE1040" t="s">
        <v>6786</v>
      </c>
      <c r="AF1040">
        <v>1</v>
      </c>
      <c r="AG1040">
        <v>2</v>
      </c>
      <c r="AH1040">
        <v>0</v>
      </c>
      <c r="AI1040">
        <v>165.42</v>
      </c>
      <c r="AL1040" t="s">
        <v>6801</v>
      </c>
      <c r="AM1040">
        <v>27972</v>
      </c>
    </row>
    <row r="1041" spans="1:44">
      <c r="A1041" s="1">
        <f>HYPERLINK("https://lsnyc.legalserver.org/matter/dynamic-profile/view/1906497","19-1906497")</f>
        <v>0</v>
      </c>
      <c r="B1041" t="s">
        <v>174</v>
      </c>
      <c r="C1041" t="s">
        <v>320</v>
      </c>
      <c r="E1041" t="s">
        <v>515</v>
      </c>
      <c r="F1041" t="s">
        <v>1785</v>
      </c>
      <c r="G1041" t="s">
        <v>2578</v>
      </c>
      <c r="H1041" t="s">
        <v>3397</v>
      </c>
      <c r="I1041" t="s">
        <v>3479</v>
      </c>
      <c r="J1041">
        <v>11691</v>
      </c>
      <c r="K1041" t="s">
        <v>3522</v>
      </c>
      <c r="L1041" t="s">
        <v>3525</v>
      </c>
      <c r="M1041" t="s">
        <v>3967</v>
      </c>
      <c r="N1041" t="s">
        <v>4109</v>
      </c>
      <c r="O1041" t="s">
        <v>4132</v>
      </c>
      <c r="Q1041" t="s">
        <v>4147</v>
      </c>
      <c r="R1041" t="s">
        <v>3523</v>
      </c>
      <c r="T1041" t="s">
        <v>4156</v>
      </c>
      <c r="U1041" t="s">
        <v>4171</v>
      </c>
      <c r="V1041" t="s">
        <v>320</v>
      </c>
      <c r="W1041">
        <v>1185</v>
      </c>
      <c r="X1041" t="s">
        <v>4192</v>
      </c>
      <c r="Y1041" t="s">
        <v>4197</v>
      </c>
      <c r="Z1041" t="s">
        <v>5111</v>
      </c>
      <c r="AB1041" t="s">
        <v>6442</v>
      </c>
      <c r="AC1041">
        <v>462</v>
      </c>
      <c r="AD1041" t="s">
        <v>6775</v>
      </c>
      <c r="AE1041" t="s">
        <v>6786</v>
      </c>
      <c r="AF1041">
        <v>2</v>
      </c>
      <c r="AG1041">
        <v>2</v>
      </c>
      <c r="AH1041">
        <v>0</v>
      </c>
      <c r="AI1041">
        <v>165.58</v>
      </c>
      <c r="AL1041" t="s">
        <v>6801</v>
      </c>
      <c r="AM1041">
        <v>28000</v>
      </c>
    </row>
    <row r="1042" spans="1:44">
      <c r="A1042" s="1">
        <f>HYPERLINK("https://lsnyc.legalserver.org/matter/dynamic-profile/view/1911458","19-1911458")</f>
        <v>0</v>
      </c>
      <c r="B1042" t="s">
        <v>107</v>
      </c>
      <c r="C1042" t="s">
        <v>215</v>
      </c>
      <c r="D1042" t="s">
        <v>248</v>
      </c>
      <c r="E1042" t="s">
        <v>520</v>
      </c>
      <c r="F1042" t="s">
        <v>1587</v>
      </c>
      <c r="G1042" t="s">
        <v>2797</v>
      </c>
      <c r="H1042" t="s">
        <v>3398</v>
      </c>
      <c r="I1042" t="s">
        <v>3494</v>
      </c>
      <c r="J1042">
        <v>10301</v>
      </c>
      <c r="K1042" t="s">
        <v>3522</v>
      </c>
      <c r="L1042" t="s">
        <v>3525</v>
      </c>
      <c r="M1042" t="s">
        <v>3529</v>
      </c>
      <c r="N1042" t="s">
        <v>3554</v>
      </c>
      <c r="O1042" t="s">
        <v>4132</v>
      </c>
      <c r="P1042" t="s">
        <v>4139</v>
      </c>
      <c r="Q1042" t="s">
        <v>4147</v>
      </c>
      <c r="R1042" t="s">
        <v>3523</v>
      </c>
      <c r="T1042" t="s">
        <v>4156</v>
      </c>
      <c r="U1042" t="s">
        <v>4168</v>
      </c>
      <c r="V1042" t="s">
        <v>291</v>
      </c>
      <c r="W1042">
        <v>1595</v>
      </c>
      <c r="X1042" t="s">
        <v>4195</v>
      </c>
      <c r="Y1042" t="s">
        <v>4210</v>
      </c>
      <c r="Z1042" t="s">
        <v>5112</v>
      </c>
      <c r="AB1042" t="s">
        <v>6443</v>
      </c>
      <c r="AC1042">
        <v>224</v>
      </c>
      <c r="AD1042" t="s">
        <v>6778</v>
      </c>
      <c r="AE1042" t="s">
        <v>6786</v>
      </c>
      <c r="AF1042">
        <v>3</v>
      </c>
      <c r="AG1042">
        <v>1</v>
      </c>
      <c r="AH1042">
        <v>2</v>
      </c>
      <c r="AI1042">
        <v>165.78</v>
      </c>
      <c r="AL1042" t="s">
        <v>6801</v>
      </c>
      <c r="AM1042">
        <v>35360</v>
      </c>
      <c r="AP1042" t="s">
        <v>4200</v>
      </c>
      <c r="AR1042" t="s">
        <v>6991</v>
      </c>
    </row>
    <row r="1043" spans="1:44">
      <c r="A1043" s="1">
        <f>HYPERLINK("https://lsnyc.legalserver.org/matter/dynamic-profile/view/1903783","19-1903783")</f>
        <v>0</v>
      </c>
      <c r="B1043" t="s">
        <v>59</v>
      </c>
      <c r="C1043" t="s">
        <v>336</v>
      </c>
      <c r="D1043" t="s">
        <v>299</v>
      </c>
      <c r="E1043" t="s">
        <v>1048</v>
      </c>
      <c r="F1043" t="s">
        <v>1914</v>
      </c>
      <c r="G1043" t="s">
        <v>2900</v>
      </c>
      <c r="H1043" t="s">
        <v>3189</v>
      </c>
      <c r="I1043" t="s">
        <v>3490</v>
      </c>
      <c r="J1043">
        <v>11208</v>
      </c>
      <c r="K1043" t="s">
        <v>3522</v>
      </c>
      <c r="L1043" t="s">
        <v>3527</v>
      </c>
      <c r="M1043" t="s">
        <v>3553</v>
      </c>
      <c r="N1043" t="s">
        <v>4112</v>
      </c>
      <c r="O1043" t="s">
        <v>4135</v>
      </c>
      <c r="P1043" t="s">
        <v>4142</v>
      </c>
      <c r="Q1043" t="s">
        <v>4147</v>
      </c>
      <c r="R1043" t="s">
        <v>3523</v>
      </c>
      <c r="T1043" t="s">
        <v>4156</v>
      </c>
      <c r="U1043" t="s">
        <v>4168</v>
      </c>
      <c r="V1043" t="s">
        <v>336</v>
      </c>
      <c r="W1043">
        <v>1350</v>
      </c>
      <c r="X1043" t="s">
        <v>4193</v>
      </c>
      <c r="Y1043" t="s">
        <v>4201</v>
      </c>
      <c r="Z1043" t="s">
        <v>5113</v>
      </c>
      <c r="AA1043" t="s">
        <v>5638</v>
      </c>
      <c r="AB1043" t="s">
        <v>6444</v>
      </c>
      <c r="AC1043">
        <v>15</v>
      </c>
      <c r="AD1043" t="s">
        <v>6772</v>
      </c>
      <c r="AE1043" t="s">
        <v>3526</v>
      </c>
      <c r="AF1043">
        <v>2</v>
      </c>
      <c r="AG1043">
        <v>2</v>
      </c>
      <c r="AH1043">
        <v>3</v>
      </c>
      <c r="AI1043">
        <v>165.81</v>
      </c>
      <c r="AL1043" t="s">
        <v>6801</v>
      </c>
      <c r="AM1043">
        <v>50024</v>
      </c>
    </row>
    <row r="1044" spans="1:44">
      <c r="A1044" s="1">
        <f>HYPERLINK("https://lsnyc.legalserver.org/matter/dynamic-profile/view/1912533","19-1912533")</f>
        <v>0</v>
      </c>
      <c r="B1044" t="s">
        <v>45</v>
      </c>
      <c r="C1044" t="s">
        <v>178</v>
      </c>
      <c r="E1044" t="s">
        <v>1049</v>
      </c>
      <c r="F1044" t="s">
        <v>1336</v>
      </c>
      <c r="G1044" t="s">
        <v>2165</v>
      </c>
      <c r="H1044" t="s">
        <v>3179</v>
      </c>
      <c r="I1044" t="s">
        <v>3479</v>
      </c>
      <c r="J1044">
        <v>11691</v>
      </c>
      <c r="K1044" t="s">
        <v>3522</v>
      </c>
      <c r="L1044" t="s">
        <v>3525</v>
      </c>
      <c r="M1044" t="s">
        <v>3679</v>
      </c>
      <c r="N1044" t="s">
        <v>4108</v>
      </c>
      <c r="O1044" t="s">
        <v>4134</v>
      </c>
      <c r="Q1044" t="s">
        <v>4147</v>
      </c>
      <c r="R1044" t="s">
        <v>3523</v>
      </c>
      <c r="T1044" t="s">
        <v>4156</v>
      </c>
      <c r="U1044" t="s">
        <v>4168</v>
      </c>
      <c r="V1044" t="s">
        <v>178</v>
      </c>
      <c r="W1044">
        <v>637</v>
      </c>
      <c r="X1044" t="s">
        <v>4192</v>
      </c>
      <c r="Y1044" t="s">
        <v>4198</v>
      </c>
      <c r="Z1044" t="s">
        <v>5114</v>
      </c>
      <c r="AB1044" t="s">
        <v>6445</v>
      </c>
      <c r="AC1044">
        <v>43</v>
      </c>
      <c r="AD1044" t="s">
        <v>6772</v>
      </c>
      <c r="AE1044" t="s">
        <v>3526</v>
      </c>
      <c r="AF1044">
        <v>20</v>
      </c>
      <c r="AG1044">
        <v>1</v>
      </c>
      <c r="AH1044">
        <v>0</v>
      </c>
      <c r="AI1044">
        <v>166.53</v>
      </c>
      <c r="AL1044" t="s">
        <v>6801</v>
      </c>
      <c r="AM1044">
        <v>20800</v>
      </c>
      <c r="AP1044" t="s">
        <v>4200</v>
      </c>
    </row>
    <row r="1045" spans="1:44">
      <c r="A1045" s="1">
        <f>HYPERLINK("https://lsnyc.legalserver.org/matter/dynamic-profile/view/1915213","19-1915213")</f>
        <v>0</v>
      </c>
      <c r="B1045" t="s">
        <v>45</v>
      </c>
      <c r="C1045" t="s">
        <v>204</v>
      </c>
      <c r="E1045" t="s">
        <v>1049</v>
      </c>
      <c r="F1045" t="s">
        <v>1336</v>
      </c>
      <c r="G1045" t="s">
        <v>2165</v>
      </c>
      <c r="H1045" t="s">
        <v>3179</v>
      </c>
      <c r="I1045" t="s">
        <v>3479</v>
      </c>
      <c r="J1045">
        <v>11691</v>
      </c>
      <c r="K1045" t="s">
        <v>3522</v>
      </c>
      <c r="L1045" t="s">
        <v>3525</v>
      </c>
      <c r="N1045" t="s">
        <v>4109</v>
      </c>
      <c r="O1045" t="s">
        <v>4134</v>
      </c>
      <c r="Q1045" t="s">
        <v>4147</v>
      </c>
      <c r="R1045" t="s">
        <v>3523</v>
      </c>
      <c r="T1045" t="s">
        <v>4156</v>
      </c>
      <c r="V1045" t="s">
        <v>204</v>
      </c>
      <c r="W1045">
        <v>637</v>
      </c>
      <c r="X1045" t="s">
        <v>4192</v>
      </c>
      <c r="Y1045" t="s">
        <v>4198</v>
      </c>
      <c r="Z1045" t="s">
        <v>5114</v>
      </c>
      <c r="AB1045" t="s">
        <v>6445</v>
      </c>
      <c r="AC1045">
        <v>43</v>
      </c>
      <c r="AD1045" t="s">
        <v>6772</v>
      </c>
      <c r="AE1045" t="s">
        <v>3526</v>
      </c>
      <c r="AF1045">
        <v>20</v>
      </c>
      <c r="AG1045">
        <v>1</v>
      </c>
      <c r="AH1045">
        <v>0</v>
      </c>
      <c r="AI1045">
        <v>166.53</v>
      </c>
      <c r="AL1045" t="s">
        <v>6801</v>
      </c>
      <c r="AM1045">
        <v>20800</v>
      </c>
    </row>
    <row r="1046" spans="1:44">
      <c r="A1046" s="1">
        <f>HYPERLINK("https://lsnyc.legalserver.org/matter/dynamic-profile/view/1915479","19-1915479")</f>
        <v>0</v>
      </c>
      <c r="B1046" t="s">
        <v>89</v>
      </c>
      <c r="C1046" t="s">
        <v>258</v>
      </c>
      <c r="D1046" t="s">
        <v>243</v>
      </c>
      <c r="E1046" t="s">
        <v>1050</v>
      </c>
      <c r="F1046" t="s">
        <v>1915</v>
      </c>
      <c r="G1046" t="s">
        <v>2901</v>
      </c>
      <c r="H1046" t="s">
        <v>3219</v>
      </c>
      <c r="I1046" t="s">
        <v>3516</v>
      </c>
      <c r="J1046">
        <v>11372</v>
      </c>
      <c r="K1046" t="s">
        <v>3522</v>
      </c>
      <c r="L1046" t="s">
        <v>3525</v>
      </c>
      <c r="O1046" t="s">
        <v>4132</v>
      </c>
      <c r="P1046" t="s">
        <v>4139</v>
      </c>
      <c r="Q1046" t="s">
        <v>4147</v>
      </c>
      <c r="R1046" t="s">
        <v>3523</v>
      </c>
      <c r="T1046" t="s">
        <v>4156</v>
      </c>
      <c r="V1046" t="s">
        <v>258</v>
      </c>
      <c r="W1046">
        <v>1300</v>
      </c>
      <c r="X1046" t="s">
        <v>4196</v>
      </c>
      <c r="Y1046" t="s">
        <v>4198</v>
      </c>
      <c r="Z1046" t="s">
        <v>5115</v>
      </c>
      <c r="AB1046" t="s">
        <v>6446</v>
      </c>
      <c r="AC1046">
        <v>0</v>
      </c>
      <c r="AD1046" t="s">
        <v>6771</v>
      </c>
      <c r="AE1046" t="s">
        <v>3526</v>
      </c>
      <c r="AF1046">
        <v>0</v>
      </c>
      <c r="AG1046">
        <v>1</v>
      </c>
      <c r="AH1046">
        <v>0</v>
      </c>
      <c r="AI1046">
        <v>166.53</v>
      </c>
      <c r="AL1046" t="s">
        <v>6807</v>
      </c>
      <c r="AM1046">
        <v>20800</v>
      </c>
    </row>
    <row r="1047" spans="1:44">
      <c r="A1047" s="1">
        <f>HYPERLINK("https://lsnyc.legalserver.org/matter/dynamic-profile/view/1905577","19-1905577")</f>
        <v>0</v>
      </c>
      <c r="B1047" t="s">
        <v>55</v>
      </c>
      <c r="C1047" t="s">
        <v>312</v>
      </c>
      <c r="D1047" t="s">
        <v>291</v>
      </c>
      <c r="E1047" t="s">
        <v>1051</v>
      </c>
      <c r="F1047" t="s">
        <v>1916</v>
      </c>
      <c r="G1047" t="s">
        <v>2902</v>
      </c>
      <c r="H1047" t="s">
        <v>3178</v>
      </c>
      <c r="I1047" t="s">
        <v>3490</v>
      </c>
      <c r="J1047">
        <v>11239</v>
      </c>
      <c r="K1047" t="s">
        <v>3522</v>
      </c>
      <c r="L1047" t="s">
        <v>3525</v>
      </c>
      <c r="M1047" t="s">
        <v>3968</v>
      </c>
      <c r="N1047" t="s">
        <v>4109</v>
      </c>
      <c r="O1047" t="s">
        <v>4132</v>
      </c>
      <c r="P1047" t="s">
        <v>4139</v>
      </c>
      <c r="Q1047" t="s">
        <v>4147</v>
      </c>
      <c r="R1047" t="s">
        <v>3523</v>
      </c>
      <c r="T1047" t="s">
        <v>4156</v>
      </c>
      <c r="U1047" t="s">
        <v>4168</v>
      </c>
      <c r="V1047" t="s">
        <v>241</v>
      </c>
      <c r="W1047">
        <v>989</v>
      </c>
      <c r="X1047" t="s">
        <v>4193</v>
      </c>
      <c r="Y1047" t="s">
        <v>4203</v>
      </c>
      <c r="Z1047" t="s">
        <v>5116</v>
      </c>
      <c r="AA1047" t="s">
        <v>3562</v>
      </c>
      <c r="AB1047" t="s">
        <v>6447</v>
      </c>
      <c r="AC1047">
        <v>55</v>
      </c>
      <c r="AD1047" t="s">
        <v>5524</v>
      </c>
      <c r="AE1047" t="s">
        <v>3526</v>
      </c>
      <c r="AF1047">
        <v>6</v>
      </c>
      <c r="AG1047">
        <v>1</v>
      </c>
      <c r="AH1047">
        <v>0</v>
      </c>
      <c r="AI1047">
        <v>166.53</v>
      </c>
      <c r="AL1047" t="s">
        <v>6801</v>
      </c>
      <c r="AM1047">
        <v>20800</v>
      </c>
    </row>
    <row r="1048" spans="1:44">
      <c r="A1048" s="1">
        <f>HYPERLINK("https://lsnyc.legalserver.org/matter/dynamic-profile/view/1913141","19-1913141")</f>
        <v>0</v>
      </c>
      <c r="B1048" t="s">
        <v>102</v>
      </c>
      <c r="C1048" t="s">
        <v>186</v>
      </c>
      <c r="D1048" t="s">
        <v>195</v>
      </c>
      <c r="E1048" t="s">
        <v>1052</v>
      </c>
      <c r="F1048" t="s">
        <v>1404</v>
      </c>
      <c r="G1048" t="s">
        <v>2903</v>
      </c>
      <c r="H1048" t="s">
        <v>3139</v>
      </c>
      <c r="I1048" t="s">
        <v>3493</v>
      </c>
      <c r="J1048">
        <v>10452</v>
      </c>
      <c r="K1048" t="s">
        <v>3522</v>
      </c>
      <c r="L1048" t="s">
        <v>3527</v>
      </c>
      <c r="M1048" t="s">
        <v>3969</v>
      </c>
      <c r="N1048" t="s">
        <v>4109</v>
      </c>
      <c r="O1048" t="s">
        <v>4134</v>
      </c>
      <c r="P1048" t="s">
        <v>4141</v>
      </c>
      <c r="Q1048" t="s">
        <v>4147</v>
      </c>
      <c r="R1048" t="s">
        <v>3523</v>
      </c>
      <c r="T1048" t="s">
        <v>4156</v>
      </c>
      <c r="U1048" t="s">
        <v>4168</v>
      </c>
      <c r="V1048" t="s">
        <v>273</v>
      </c>
      <c r="W1048">
        <v>1308</v>
      </c>
      <c r="X1048" t="s">
        <v>4194</v>
      </c>
      <c r="Y1048" t="s">
        <v>4210</v>
      </c>
      <c r="Z1048" t="s">
        <v>5117</v>
      </c>
      <c r="AA1048" t="s">
        <v>5639</v>
      </c>
      <c r="AB1048" t="s">
        <v>6448</v>
      </c>
      <c r="AC1048">
        <v>53</v>
      </c>
      <c r="AD1048" t="s">
        <v>6772</v>
      </c>
      <c r="AE1048" t="s">
        <v>6787</v>
      </c>
      <c r="AF1048">
        <v>3</v>
      </c>
      <c r="AG1048">
        <v>1</v>
      </c>
      <c r="AH1048">
        <v>0</v>
      </c>
      <c r="AI1048">
        <v>166.53</v>
      </c>
      <c r="AL1048" t="s">
        <v>6801</v>
      </c>
      <c r="AM1048">
        <v>20800</v>
      </c>
      <c r="AP1048" t="s">
        <v>6924</v>
      </c>
      <c r="AQ1048" t="s">
        <v>6945</v>
      </c>
      <c r="AR1048" t="s">
        <v>6993</v>
      </c>
    </row>
    <row r="1049" spans="1:44">
      <c r="A1049" s="1">
        <f>HYPERLINK("https://lsnyc.legalserver.org/matter/dynamic-profile/view/1911924","19-1911924")</f>
        <v>0</v>
      </c>
      <c r="B1049" t="s">
        <v>99</v>
      </c>
      <c r="C1049" t="s">
        <v>251</v>
      </c>
      <c r="E1049" t="s">
        <v>1053</v>
      </c>
      <c r="F1049" t="s">
        <v>1917</v>
      </c>
      <c r="G1049" t="s">
        <v>2612</v>
      </c>
      <c r="H1049" t="s">
        <v>3399</v>
      </c>
      <c r="I1049" t="s">
        <v>3495</v>
      </c>
      <c r="J1049">
        <v>10037</v>
      </c>
      <c r="K1049" t="s">
        <v>3522</v>
      </c>
      <c r="L1049" t="s">
        <v>3525</v>
      </c>
      <c r="M1049" t="s">
        <v>3970</v>
      </c>
      <c r="N1049" t="s">
        <v>4109</v>
      </c>
      <c r="O1049" t="s">
        <v>4134</v>
      </c>
      <c r="Q1049" t="s">
        <v>4147</v>
      </c>
      <c r="R1049" t="s">
        <v>3522</v>
      </c>
      <c r="T1049" t="s">
        <v>4156</v>
      </c>
      <c r="U1049" t="s">
        <v>4168</v>
      </c>
      <c r="V1049" t="s">
        <v>194</v>
      </c>
      <c r="W1049">
        <v>0</v>
      </c>
      <c r="X1049" t="s">
        <v>4196</v>
      </c>
      <c r="Y1049" t="s">
        <v>4198</v>
      </c>
      <c r="Z1049" t="s">
        <v>5118</v>
      </c>
      <c r="AB1049" t="s">
        <v>6449</v>
      </c>
      <c r="AC1049">
        <v>259</v>
      </c>
      <c r="AD1049" t="s">
        <v>6772</v>
      </c>
      <c r="AE1049" t="s">
        <v>3526</v>
      </c>
      <c r="AF1049">
        <v>10</v>
      </c>
      <c r="AG1049">
        <v>1</v>
      </c>
      <c r="AH1049">
        <v>0</v>
      </c>
      <c r="AI1049">
        <v>166.53</v>
      </c>
      <c r="AL1049" t="s">
        <v>6801</v>
      </c>
      <c r="AM1049">
        <v>20800</v>
      </c>
    </row>
    <row r="1050" spans="1:44">
      <c r="A1050" s="1">
        <f>HYPERLINK("https://lsnyc.legalserver.org/matter/dynamic-profile/view/1912069","19-1912069")</f>
        <v>0</v>
      </c>
      <c r="B1050" t="s">
        <v>76</v>
      </c>
      <c r="C1050" t="s">
        <v>333</v>
      </c>
      <c r="D1050" t="s">
        <v>213</v>
      </c>
      <c r="E1050" t="s">
        <v>1054</v>
      </c>
      <c r="F1050" t="s">
        <v>1379</v>
      </c>
      <c r="G1050" t="s">
        <v>2904</v>
      </c>
      <c r="H1050" t="s">
        <v>3140</v>
      </c>
      <c r="I1050" t="s">
        <v>3493</v>
      </c>
      <c r="J1050">
        <v>10459</v>
      </c>
      <c r="K1050" t="s">
        <v>3522</v>
      </c>
      <c r="L1050" t="s">
        <v>3525</v>
      </c>
      <c r="O1050" t="s">
        <v>4135</v>
      </c>
      <c r="P1050" t="s">
        <v>4142</v>
      </c>
      <c r="Q1050" t="s">
        <v>4147</v>
      </c>
      <c r="T1050" t="s">
        <v>4156</v>
      </c>
      <c r="V1050" t="s">
        <v>199</v>
      </c>
      <c r="W1050">
        <v>738</v>
      </c>
      <c r="X1050" t="s">
        <v>4194</v>
      </c>
      <c r="Y1050" t="s">
        <v>4201</v>
      </c>
      <c r="Z1050" t="s">
        <v>5119</v>
      </c>
      <c r="AB1050" t="s">
        <v>6450</v>
      </c>
      <c r="AC1050">
        <v>40</v>
      </c>
      <c r="AD1050" t="s">
        <v>6772</v>
      </c>
      <c r="AE1050" t="s">
        <v>6786</v>
      </c>
      <c r="AF1050">
        <v>41</v>
      </c>
      <c r="AG1050">
        <v>2</v>
      </c>
      <c r="AH1050">
        <v>0</v>
      </c>
      <c r="AI1050">
        <v>166.65</v>
      </c>
      <c r="AL1050" t="s">
        <v>6801</v>
      </c>
      <c r="AM1050">
        <v>28179.96</v>
      </c>
    </row>
    <row r="1051" spans="1:44">
      <c r="A1051" s="1">
        <f>HYPERLINK("https://lsnyc.legalserver.org/matter/dynamic-profile/view/1909630","19-1909630")</f>
        <v>0</v>
      </c>
      <c r="B1051" t="s">
        <v>92</v>
      </c>
      <c r="C1051" t="s">
        <v>231</v>
      </c>
      <c r="D1051" t="s">
        <v>208</v>
      </c>
      <c r="E1051" t="s">
        <v>1055</v>
      </c>
      <c r="F1051" t="s">
        <v>1323</v>
      </c>
      <c r="G1051" t="s">
        <v>2905</v>
      </c>
      <c r="H1051">
        <v>48</v>
      </c>
      <c r="I1051" t="s">
        <v>3495</v>
      </c>
      <c r="J1051">
        <v>10032</v>
      </c>
      <c r="K1051" t="s">
        <v>3522</v>
      </c>
      <c r="L1051" t="s">
        <v>3525</v>
      </c>
      <c r="N1051" t="s">
        <v>3554</v>
      </c>
      <c r="O1051" t="s">
        <v>4132</v>
      </c>
      <c r="P1051" t="s">
        <v>4139</v>
      </c>
      <c r="Q1051" t="s">
        <v>4147</v>
      </c>
      <c r="R1051" t="s">
        <v>3523</v>
      </c>
      <c r="T1051" t="s">
        <v>4156</v>
      </c>
      <c r="U1051" t="s">
        <v>4168</v>
      </c>
      <c r="V1051" t="s">
        <v>231</v>
      </c>
      <c r="W1051">
        <v>419.62</v>
      </c>
      <c r="X1051" t="s">
        <v>4196</v>
      </c>
      <c r="Y1051" t="s">
        <v>4201</v>
      </c>
      <c r="Z1051" t="s">
        <v>5120</v>
      </c>
      <c r="AB1051" t="s">
        <v>6451</v>
      </c>
      <c r="AC1051">
        <v>70</v>
      </c>
      <c r="AD1051" t="s">
        <v>6772</v>
      </c>
      <c r="AE1051" t="s">
        <v>3526</v>
      </c>
      <c r="AF1051">
        <v>57</v>
      </c>
      <c r="AG1051">
        <v>1</v>
      </c>
      <c r="AH1051">
        <v>0</v>
      </c>
      <c r="AI1051">
        <v>166.79</v>
      </c>
      <c r="AL1051" t="s">
        <v>6801</v>
      </c>
      <c r="AM1051">
        <v>20832</v>
      </c>
    </row>
    <row r="1052" spans="1:44">
      <c r="A1052" s="1">
        <f>HYPERLINK("https://lsnyc.legalserver.org/matter/dynamic-profile/view/1915850","19-1915850")</f>
        <v>0</v>
      </c>
      <c r="B1052" t="s">
        <v>90</v>
      </c>
      <c r="C1052" t="s">
        <v>220</v>
      </c>
      <c r="E1052" t="s">
        <v>679</v>
      </c>
      <c r="F1052" t="s">
        <v>1404</v>
      </c>
      <c r="G1052" t="s">
        <v>2784</v>
      </c>
      <c r="H1052">
        <v>33</v>
      </c>
      <c r="I1052" t="s">
        <v>3495</v>
      </c>
      <c r="J1052">
        <v>10034</v>
      </c>
      <c r="K1052" t="s">
        <v>3522</v>
      </c>
      <c r="L1052" t="s">
        <v>3525</v>
      </c>
      <c r="N1052" t="s">
        <v>4110</v>
      </c>
      <c r="O1052" t="s">
        <v>4136</v>
      </c>
      <c r="Q1052" t="s">
        <v>4147</v>
      </c>
      <c r="R1052" t="s">
        <v>3523</v>
      </c>
      <c r="T1052" t="s">
        <v>4156</v>
      </c>
      <c r="V1052" t="s">
        <v>220</v>
      </c>
      <c r="W1052">
        <v>818</v>
      </c>
      <c r="X1052" t="s">
        <v>4196</v>
      </c>
      <c r="Y1052" t="s">
        <v>4201</v>
      </c>
      <c r="Z1052" t="s">
        <v>5121</v>
      </c>
      <c r="AB1052" t="s">
        <v>6452</v>
      </c>
      <c r="AC1052">
        <v>25</v>
      </c>
      <c r="AD1052" t="s">
        <v>6772</v>
      </c>
      <c r="AE1052" t="s">
        <v>3526</v>
      </c>
      <c r="AF1052">
        <v>18</v>
      </c>
      <c r="AG1052">
        <v>3</v>
      </c>
      <c r="AH1052">
        <v>0</v>
      </c>
      <c r="AI1052">
        <v>166.9</v>
      </c>
      <c r="AL1052" t="s">
        <v>6802</v>
      </c>
      <c r="AM1052">
        <v>35600</v>
      </c>
    </row>
    <row r="1053" spans="1:44">
      <c r="A1053" s="1">
        <f>HYPERLINK("https://lsnyc.legalserver.org/matter/dynamic-profile/view/1915854","19-1915854")</f>
        <v>0</v>
      </c>
      <c r="B1053" t="s">
        <v>90</v>
      </c>
      <c r="C1053" t="s">
        <v>220</v>
      </c>
      <c r="E1053" t="s">
        <v>679</v>
      </c>
      <c r="F1053" t="s">
        <v>1404</v>
      </c>
      <c r="G1053" t="s">
        <v>2784</v>
      </c>
      <c r="H1053">
        <v>33</v>
      </c>
      <c r="I1053" t="s">
        <v>3495</v>
      </c>
      <c r="J1053">
        <v>10034</v>
      </c>
      <c r="K1053" t="s">
        <v>3522</v>
      </c>
      <c r="L1053" t="s">
        <v>3525</v>
      </c>
      <c r="M1053" t="s">
        <v>3971</v>
      </c>
      <c r="N1053" t="s">
        <v>4108</v>
      </c>
      <c r="O1053" t="s">
        <v>4134</v>
      </c>
      <c r="Q1053" t="s">
        <v>4147</v>
      </c>
      <c r="R1053" t="s">
        <v>3523</v>
      </c>
      <c r="T1053" t="s">
        <v>4156</v>
      </c>
      <c r="V1053" t="s">
        <v>220</v>
      </c>
      <c r="W1053">
        <v>818</v>
      </c>
      <c r="X1053" t="s">
        <v>4196</v>
      </c>
      <c r="Y1053" t="s">
        <v>4201</v>
      </c>
      <c r="Z1053" t="s">
        <v>5121</v>
      </c>
      <c r="AB1053" t="s">
        <v>6452</v>
      </c>
      <c r="AC1053">
        <v>25</v>
      </c>
      <c r="AD1053" t="s">
        <v>6772</v>
      </c>
      <c r="AE1053" t="s">
        <v>3526</v>
      </c>
      <c r="AF1053">
        <v>18</v>
      </c>
      <c r="AG1053">
        <v>3</v>
      </c>
      <c r="AH1053">
        <v>0</v>
      </c>
      <c r="AI1053">
        <v>166.9</v>
      </c>
      <c r="AL1053" t="s">
        <v>6802</v>
      </c>
      <c r="AM1053">
        <v>35600</v>
      </c>
    </row>
    <row r="1054" spans="1:44">
      <c r="A1054" s="1">
        <f>HYPERLINK("https://lsnyc.legalserver.org/matter/dynamic-profile/view/1904303","19-1904303")</f>
        <v>0</v>
      </c>
      <c r="B1054" t="s">
        <v>93</v>
      </c>
      <c r="C1054" t="s">
        <v>179</v>
      </c>
      <c r="E1054" t="s">
        <v>679</v>
      </c>
      <c r="F1054" t="s">
        <v>1404</v>
      </c>
      <c r="G1054" t="s">
        <v>2784</v>
      </c>
      <c r="H1054">
        <v>33</v>
      </c>
      <c r="I1054" t="s">
        <v>3495</v>
      </c>
      <c r="J1054">
        <v>10034</v>
      </c>
      <c r="K1054" t="s">
        <v>3522</v>
      </c>
      <c r="L1054" t="s">
        <v>3525</v>
      </c>
      <c r="M1054" t="s">
        <v>3972</v>
      </c>
      <c r="N1054" t="s">
        <v>4109</v>
      </c>
      <c r="O1054" t="s">
        <v>4134</v>
      </c>
      <c r="Q1054" t="s">
        <v>4147</v>
      </c>
      <c r="R1054" t="s">
        <v>3523</v>
      </c>
      <c r="T1054" t="s">
        <v>4156</v>
      </c>
      <c r="V1054" t="s">
        <v>179</v>
      </c>
      <c r="W1054">
        <v>818</v>
      </c>
      <c r="X1054" t="s">
        <v>4196</v>
      </c>
      <c r="Y1054" t="s">
        <v>4201</v>
      </c>
      <c r="Z1054" t="s">
        <v>5121</v>
      </c>
      <c r="AB1054" t="s">
        <v>6452</v>
      </c>
      <c r="AC1054">
        <v>25</v>
      </c>
      <c r="AD1054" t="s">
        <v>6772</v>
      </c>
      <c r="AE1054" t="s">
        <v>3526</v>
      </c>
      <c r="AF1054">
        <v>18</v>
      </c>
      <c r="AG1054">
        <v>3</v>
      </c>
      <c r="AH1054">
        <v>0</v>
      </c>
      <c r="AI1054">
        <v>166.9</v>
      </c>
      <c r="AL1054" t="s">
        <v>6802</v>
      </c>
      <c r="AM1054">
        <v>35600</v>
      </c>
    </row>
    <row r="1055" spans="1:44">
      <c r="A1055" s="1">
        <f>HYPERLINK("https://lsnyc.legalserver.org/matter/dynamic-profile/view/1912403","19-1912403")</f>
        <v>0</v>
      </c>
      <c r="B1055" t="s">
        <v>45</v>
      </c>
      <c r="C1055" t="s">
        <v>295</v>
      </c>
      <c r="E1055" t="s">
        <v>1056</v>
      </c>
      <c r="F1055" t="s">
        <v>1479</v>
      </c>
      <c r="G1055" t="s">
        <v>2165</v>
      </c>
      <c r="H1055" t="s">
        <v>3246</v>
      </c>
      <c r="I1055" t="s">
        <v>3479</v>
      </c>
      <c r="J1055">
        <v>11691</v>
      </c>
      <c r="K1055" t="s">
        <v>3522</v>
      </c>
      <c r="L1055" t="s">
        <v>3525</v>
      </c>
      <c r="M1055" t="s">
        <v>3679</v>
      </c>
      <c r="N1055" t="s">
        <v>4108</v>
      </c>
      <c r="O1055" t="s">
        <v>4134</v>
      </c>
      <c r="Q1055" t="s">
        <v>4147</v>
      </c>
      <c r="R1055" t="s">
        <v>3522</v>
      </c>
      <c r="T1055" t="s">
        <v>4156</v>
      </c>
      <c r="U1055" t="s">
        <v>4168</v>
      </c>
      <c r="V1055" t="s">
        <v>295</v>
      </c>
      <c r="W1055">
        <v>637</v>
      </c>
      <c r="X1055" t="s">
        <v>4192</v>
      </c>
      <c r="Y1055" t="s">
        <v>4198</v>
      </c>
      <c r="Z1055" t="s">
        <v>5122</v>
      </c>
      <c r="AB1055" t="s">
        <v>6453</v>
      </c>
      <c r="AC1055">
        <v>43</v>
      </c>
      <c r="AD1055" t="s">
        <v>6772</v>
      </c>
      <c r="AE1055" t="s">
        <v>3526</v>
      </c>
      <c r="AF1055">
        <v>30</v>
      </c>
      <c r="AG1055">
        <v>4</v>
      </c>
      <c r="AH1055">
        <v>0</v>
      </c>
      <c r="AI1055">
        <v>166.99</v>
      </c>
      <c r="AL1055" t="s">
        <v>6801</v>
      </c>
      <c r="AM1055">
        <v>43000</v>
      </c>
      <c r="AP1055" t="s">
        <v>4200</v>
      </c>
    </row>
    <row r="1056" spans="1:44">
      <c r="A1056" s="1">
        <f>HYPERLINK("https://lsnyc.legalserver.org/matter/dynamic-profile/view/1912394","19-1912394")</f>
        <v>0</v>
      </c>
      <c r="B1056" t="s">
        <v>45</v>
      </c>
      <c r="C1056" t="s">
        <v>295</v>
      </c>
      <c r="E1056" t="s">
        <v>1056</v>
      </c>
      <c r="F1056" t="s">
        <v>1479</v>
      </c>
      <c r="G1056" t="s">
        <v>2165</v>
      </c>
      <c r="H1056" t="s">
        <v>3400</v>
      </c>
      <c r="I1056" t="s">
        <v>3479</v>
      </c>
      <c r="J1056">
        <v>11691</v>
      </c>
      <c r="K1056" t="s">
        <v>3522</v>
      </c>
      <c r="L1056" t="s">
        <v>3525</v>
      </c>
      <c r="N1056" t="s">
        <v>4109</v>
      </c>
      <c r="O1056" t="s">
        <v>4133</v>
      </c>
      <c r="Q1056" t="s">
        <v>4147</v>
      </c>
      <c r="R1056" t="s">
        <v>3522</v>
      </c>
      <c r="T1056" t="s">
        <v>4156</v>
      </c>
      <c r="V1056" t="s">
        <v>295</v>
      </c>
      <c r="W1056">
        <v>637</v>
      </c>
      <c r="X1056" t="s">
        <v>4192</v>
      </c>
      <c r="Y1056" t="s">
        <v>4198</v>
      </c>
      <c r="Z1056" t="s">
        <v>5122</v>
      </c>
      <c r="AB1056" t="s">
        <v>6453</v>
      </c>
      <c r="AC1056">
        <v>43</v>
      </c>
      <c r="AD1056" t="s">
        <v>6772</v>
      </c>
      <c r="AE1056" t="s">
        <v>3526</v>
      </c>
      <c r="AF1056">
        <v>30</v>
      </c>
      <c r="AG1056">
        <v>4</v>
      </c>
      <c r="AH1056">
        <v>0</v>
      </c>
      <c r="AI1056">
        <v>166.99</v>
      </c>
      <c r="AL1056" t="s">
        <v>6801</v>
      </c>
      <c r="AM1056">
        <v>43000</v>
      </c>
    </row>
    <row r="1057" spans="1:44">
      <c r="A1057" s="1">
        <f>HYPERLINK("https://lsnyc.legalserver.org/matter/dynamic-profile/view/1907897","19-1907897")</f>
        <v>0</v>
      </c>
      <c r="B1057" t="s">
        <v>54</v>
      </c>
      <c r="C1057" t="s">
        <v>298</v>
      </c>
      <c r="E1057" t="s">
        <v>1057</v>
      </c>
      <c r="F1057" t="s">
        <v>1797</v>
      </c>
      <c r="G1057" t="s">
        <v>2906</v>
      </c>
      <c r="H1057" t="s">
        <v>3129</v>
      </c>
      <c r="I1057" t="s">
        <v>3490</v>
      </c>
      <c r="J1057">
        <v>11233</v>
      </c>
      <c r="K1057" t="s">
        <v>3522</v>
      </c>
      <c r="L1057" t="s">
        <v>3525</v>
      </c>
      <c r="M1057" t="s">
        <v>3526</v>
      </c>
      <c r="N1057" t="s">
        <v>4112</v>
      </c>
      <c r="O1057" t="s">
        <v>4135</v>
      </c>
      <c r="Q1057" t="s">
        <v>4147</v>
      </c>
      <c r="R1057" t="s">
        <v>3523</v>
      </c>
      <c r="T1057" t="s">
        <v>4156</v>
      </c>
      <c r="U1057" t="s">
        <v>4168</v>
      </c>
      <c r="V1057" t="s">
        <v>298</v>
      </c>
      <c r="W1057">
        <v>482.02</v>
      </c>
      <c r="X1057" t="s">
        <v>4193</v>
      </c>
      <c r="Y1057" t="s">
        <v>4201</v>
      </c>
      <c r="Z1057" t="s">
        <v>5123</v>
      </c>
      <c r="AB1057" t="s">
        <v>6454</v>
      </c>
      <c r="AC1057">
        <v>8</v>
      </c>
      <c r="AD1057" t="s">
        <v>6779</v>
      </c>
      <c r="AF1057">
        <v>13</v>
      </c>
      <c r="AG1057">
        <v>2</v>
      </c>
      <c r="AH1057">
        <v>2</v>
      </c>
      <c r="AI1057">
        <v>166.99</v>
      </c>
      <c r="AL1057" t="s">
        <v>6801</v>
      </c>
      <c r="AM1057">
        <v>43000</v>
      </c>
    </row>
    <row r="1058" spans="1:44">
      <c r="A1058" s="1">
        <f>HYPERLINK("https://lsnyc.legalserver.org/matter/dynamic-profile/view/1905550","19-1905550")</f>
        <v>0</v>
      </c>
      <c r="B1058" t="s">
        <v>115</v>
      </c>
      <c r="C1058" t="s">
        <v>312</v>
      </c>
      <c r="E1058" t="s">
        <v>1058</v>
      </c>
      <c r="F1058" t="s">
        <v>1854</v>
      </c>
      <c r="G1058" t="s">
        <v>2907</v>
      </c>
      <c r="H1058" t="s">
        <v>3158</v>
      </c>
      <c r="I1058" t="s">
        <v>3495</v>
      </c>
      <c r="J1058">
        <v>10035</v>
      </c>
      <c r="K1058" t="s">
        <v>3522</v>
      </c>
      <c r="L1058" t="s">
        <v>3525</v>
      </c>
      <c r="M1058" t="s">
        <v>3973</v>
      </c>
      <c r="N1058" t="s">
        <v>4123</v>
      </c>
      <c r="O1058" t="s">
        <v>4134</v>
      </c>
      <c r="Q1058" t="s">
        <v>4147</v>
      </c>
      <c r="R1058" t="s">
        <v>3523</v>
      </c>
      <c r="T1058" t="s">
        <v>4156</v>
      </c>
      <c r="V1058" t="s">
        <v>312</v>
      </c>
      <c r="W1058">
        <v>1575</v>
      </c>
      <c r="X1058" t="s">
        <v>4196</v>
      </c>
      <c r="Y1058" t="s">
        <v>4201</v>
      </c>
      <c r="Z1058" t="s">
        <v>5124</v>
      </c>
      <c r="AB1058" t="s">
        <v>6455</v>
      </c>
      <c r="AC1058">
        <v>10</v>
      </c>
      <c r="AD1058" t="s">
        <v>6772</v>
      </c>
      <c r="AE1058" t="s">
        <v>3526</v>
      </c>
      <c r="AF1058">
        <v>0</v>
      </c>
      <c r="AG1058">
        <v>3</v>
      </c>
      <c r="AH1058">
        <v>1</v>
      </c>
      <c r="AI1058">
        <v>166.99</v>
      </c>
      <c r="AL1058" t="s">
        <v>6801</v>
      </c>
      <c r="AM1058">
        <v>43000</v>
      </c>
    </row>
    <row r="1059" spans="1:44">
      <c r="A1059" s="1">
        <f>HYPERLINK("https://lsnyc.legalserver.org/matter/dynamic-profile/view/1905547","19-1905547")</f>
        <v>0</v>
      </c>
      <c r="B1059" t="s">
        <v>123</v>
      </c>
      <c r="C1059" t="s">
        <v>312</v>
      </c>
      <c r="D1059" t="s">
        <v>312</v>
      </c>
      <c r="E1059" t="s">
        <v>1058</v>
      </c>
      <c r="F1059" t="s">
        <v>1854</v>
      </c>
      <c r="G1059" t="s">
        <v>2907</v>
      </c>
      <c r="H1059" t="s">
        <v>3158</v>
      </c>
      <c r="I1059" t="s">
        <v>3495</v>
      </c>
      <c r="J1059">
        <v>10035</v>
      </c>
      <c r="K1059" t="s">
        <v>3522</v>
      </c>
      <c r="L1059" t="s">
        <v>3525</v>
      </c>
      <c r="M1059" t="s">
        <v>3974</v>
      </c>
      <c r="N1059" t="s">
        <v>4110</v>
      </c>
      <c r="O1059" t="s">
        <v>4137</v>
      </c>
      <c r="P1059" t="s">
        <v>4145</v>
      </c>
      <c r="Q1059" t="s">
        <v>4147</v>
      </c>
      <c r="R1059" t="s">
        <v>3523</v>
      </c>
      <c r="T1059" t="s">
        <v>4156</v>
      </c>
      <c r="V1059" t="s">
        <v>312</v>
      </c>
      <c r="W1059">
        <v>1575</v>
      </c>
      <c r="X1059" t="s">
        <v>4196</v>
      </c>
      <c r="Y1059" t="s">
        <v>4201</v>
      </c>
      <c r="Z1059" t="s">
        <v>5124</v>
      </c>
      <c r="AB1059" t="s">
        <v>6455</v>
      </c>
      <c r="AC1059">
        <v>10</v>
      </c>
      <c r="AD1059" t="s">
        <v>6772</v>
      </c>
      <c r="AE1059" t="s">
        <v>3526</v>
      </c>
      <c r="AF1059">
        <v>0</v>
      </c>
      <c r="AG1059">
        <v>3</v>
      </c>
      <c r="AH1059">
        <v>1</v>
      </c>
      <c r="AI1059">
        <v>166.99</v>
      </c>
      <c r="AL1059" t="s">
        <v>6801</v>
      </c>
      <c r="AM1059">
        <v>43000</v>
      </c>
    </row>
    <row r="1060" spans="1:44">
      <c r="A1060" s="1">
        <f>HYPERLINK("https://lsnyc.legalserver.org/matter/dynamic-profile/view/1915275","19-1915275")</f>
        <v>0</v>
      </c>
      <c r="B1060" t="s">
        <v>94</v>
      </c>
      <c r="C1060" t="s">
        <v>204</v>
      </c>
      <c r="E1060" t="s">
        <v>495</v>
      </c>
      <c r="F1060" t="s">
        <v>1446</v>
      </c>
      <c r="G1060" t="s">
        <v>2480</v>
      </c>
      <c r="H1060" t="s">
        <v>3221</v>
      </c>
      <c r="I1060" t="s">
        <v>3495</v>
      </c>
      <c r="J1060">
        <v>10035</v>
      </c>
      <c r="K1060" t="s">
        <v>3522</v>
      </c>
      <c r="L1060" t="s">
        <v>3525</v>
      </c>
      <c r="N1060" t="s">
        <v>4110</v>
      </c>
      <c r="O1060" t="s">
        <v>4134</v>
      </c>
      <c r="Q1060" t="s">
        <v>4147</v>
      </c>
      <c r="R1060" t="s">
        <v>3522</v>
      </c>
      <c r="T1060" t="s">
        <v>4156</v>
      </c>
      <c r="U1060" t="s">
        <v>4168</v>
      </c>
      <c r="V1060" t="s">
        <v>204</v>
      </c>
      <c r="W1060">
        <v>1051</v>
      </c>
      <c r="X1060" t="s">
        <v>4196</v>
      </c>
      <c r="Y1060" t="s">
        <v>4201</v>
      </c>
      <c r="Z1060" t="s">
        <v>5125</v>
      </c>
      <c r="AB1060" t="s">
        <v>6456</v>
      </c>
      <c r="AC1060">
        <v>60</v>
      </c>
      <c r="AD1060" t="s">
        <v>6772</v>
      </c>
      <c r="AE1060" t="s">
        <v>3526</v>
      </c>
      <c r="AF1060">
        <v>14</v>
      </c>
      <c r="AG1060">
        <v>3</v>
      </c>
      <c r="AH1060">
        <v>1</v>
      </c>
      <c r="AI1060">
        <v>166.99</v>
      </c>
      <c r="AL1060" t="s">
        <v>6801</v>
      </c>
      <c r="AM1060">
        <v>43000</v>
      </c>
    </row>
    <row r="1061" spans="1:44">
      <c r="A1061" s="1">
        <f>HYPERLINK("https://lsnyc.legalserver.org/matter/dynamic-profile/view/1914814","19-1914814")</f>
        <v>0</v>
      </c>
      <c r="B1061" t="s">
        <v>94</v>
      </c>
      <c r="C1061" t="s">
        <v>301</v>
      </c>
      <c r="E1061" t="s">
        <v>495</v>
      </c>
      <c r="F1061" t="s">
        <v>1446</v>
      </c>
      <c r="G1061" t="s">
        <v>2480</v>
      </c>
      <c r="H1061" t="s">
        <v>3221</v>
      </c>
      <c r="I1061" t="s">
        <v>3495</v>
      </c>
      <c r="J1061">
        <v>10035</v>
      </c>
      <c r="K1061" t="s">
        <v>3522</v>
      </c>
      <c r="L1061" t="s">
        <v>3525</v>
      </c>
      <c r="N1061" t="s">
        <v>4108</v>
      </c>
      <c r="O1061" t="s">
        <v>4134</v>
      </c>
      <c r="Q1061" t="s">
        <v>4147</v>
      </c>
      <c r="R1061" t="s">
        <v>3523</v>
      </c>
      <c r="T1061" t="s">
        <v>4156</v>
      </c>
      <c r="U1061" t="s">
        <v>4168</v>
      </c>
      <c r="V1061" t="s">
        <v>267</v>
      </c>
      <c r="W1061">
        <v>1051</v>
      </c>
      <c r="X1061" t="s">
        <v>4196</v>
      </c>
      <c r="Y1061" t="s">
        <v>4201</v>
      </c>
      <c r="Z1061" t="s">
        <v>5125</v>
      </c>
      <c r="AB1061" t="s">
        <v>6456</v>
      </c>
      <c r="AC1061">
        <v>60</v>
      </c>
      <c r="AD1061" t="s">
        <v>6772</v>
      </c>
      <c r="AE1061" t="s">
        <v>3526</v>
      </c>
      <c r="AF1061">
        <v>14</v>
      </c>
      <c r="AG1061">
        <v>3</v>
      </c>
      <c r="AH1061">
        <v>1</v>
      </c>
      <c r="AI1061">
        <v>166.99</v>
      </c>
      <c r="AL1061" t="s">
        <v>6801</v>
      </c>
      <c r="AM1061">
        <v>43000</v>
      </c>
    </row>
    <row r="1062" spans="1:44">
      <c r="A1062" s="1">
        <f>HYPERLINK("https://lsnyc.legalserver.org/matter/dynamic-profile/view/1904010","19-1904010")</f>
        <v>0</v>
      </c>
      <c r="B1062" t="s">
        <v>91</v>
      </c>
      <c r="C1062" t="s">
        <v>274</v>
      </c>
      <c r="D1062" t="s">
        <v>208</v>
      </c>
      <c r="E1062" t="s">
        <v>665</v>
      </c>
      <c r="F1062" t="s">
        <v>1918</v>
      </c>
      <c r="G1062" t="s">
        <v>2908</v>
      </c>
      <c r="H1062" t="s">
        <v>3220</v>
      </c>
      <c r="I1062" t="s">
        <v>3495</v>
      </c>
      <c r="J1062">
        <v>10024</v>
      </c>
      <c r="K1062" t="s">
        <v>3522</v>
      </c>
      <c r="L1062" t="s">
        <v>3525</v>
      </c>
      <c r="N1062" t="s">
        <v>4108</v>
      </c>
      <c r="O1062" t="s">
        <v>4135</v>
      </c>
      <c r="P1062" t="s">
        <v>4142</v>
      </c>
      <c r="Q1062" t="s">
        <v>4147</v>
      </c>
      <c r="R1062" t="s">
        <v>3522</v>
      </c>
      <c r="T1062" t="s">
        <v>4156</v>
      </c>
      <c r="U1062" t="s">
        <v>4168</v>
      </c>
      <c r="V1062" t="s">
        <v>274</v>
      </c>
      <c r="W1062">
        <v>495</v>
      </c>
      <c r="X1062" t="s">
        <v>4196</v>
      </c>
      <c r="Y1062" t="s">
        <v>4206</v>
      </c>
      <c r="Z1062" t="s">
        <v>4520</v>
      </c>
      <c r="AB1062" t="s">
        <v>6457</v>
      </c>
      <c r="AC1062">
        <v>29</v>
      </c>
      <c r="AD1062" t="s">
        <v>6780</v>
      </c>
      <c r="AE1062" t="s">
        <v>3526</v>
      </c>
      <c r="AF1062">
        <v>31</v>
      </c>
      <c r="AG1062">
        <v>4</v>
      </c>
      <c r="AH1062">
        <v>0</v>
      </c>
      <c r="AI1062">
        <v>166.99</v>
      </c>
      <c r="AL1062" t="s">
        <v>6801</v>
      </c>
      <c r="AM1062">
        <v>43000</v>
      </c>
    </row>
    <row r="1063" spans="1:44">
      <c r="A1063" s="1">
        <f>HYPERLINK("https://lsnyc.legalserver.org/matter/dynamic-profile/view/1916032","19-1916032")</f>
        <v>0</v>
      </c>
      <c r="B1063" t="s">
        <v>90</v>
      </c>
      <c r="C1063" t="s">
        <v>299</v>
      </c>
      <c r="E1063" t="s">
        <v>1059</v>
      </c>
      <c r="F1063" t="s">
        <v>1431</v>
      </c>
      <c r="G1063" t="s">
        <v>2454</v>
      </c>
      <c r="H1063" t="s">
        <v>3154</v>
      </c>
      <c r="I1063" t="s">
        <v>3495</v>
      </c>
      <c r="J1063">
        <v>10040</v>
      </c>
      <c r="K1063" t="s">
        <v>3522</v>
      </c>
      <c r="L1063" t="s">
        <v>3525</v>
      </c>
      <c r="O1063" t="s">
        <v>4134</v>
      </c>
      <c r="Q1063" t="s">
        <v>4147</v>
      </c>
      <c r="R1063" t="s">
        <v>3522</v>
      </c>
      <c r="T1063" t="s">
        <v>4156</v>
      </c>
      <c r="V1063" t="s">
        <v>299</v>
      </c>
      <c r="W1063">
        <v>1494.26</v>
      </c>
      <c r="X1063" t="s">
        <v>4196</v>
      </c>
      <c r="Y1063" t="s">
        <v>4201</v>
      </c>
      <c r="Z1063" t="s">
        <v>5126</v>
      </c>
      <c r="AC1063">
        <v>44</v>
      </c>
      <c r="AD1063" t="s">
        <v>6772</v>
      </c>
      <c r="AE1063" t="s">
        <v>3526</v>
      </c>
      <c r="AF1063">
        <v>29</v>
      </c>
      <c r="AG1063">
        <v>3</v>
      </c>
      <c r="AH1063">
        <v>0</v>
      </c>
      <c r="AI1063">
        <v>167.22</v>
      </c>
      <c r="AL1063" t="s">
        <v>6802</v>
      </c>
      <c r="AM1063">
        <v>35668</v>
      </c>
    </row>
    <row r="1064" spans="1:44">
      <c r="A1064" s="1">
        <f>HYPERLINK("https://lsnyc.legalserver.org/matter/dynamic-profile/view/1903667","19-1903667")</f>
        <v>0</v>
      </c>
      <c r="B1064" t="s">
        <v>120</v>
      </c>
      <c r="C1064" t="s">
        <v>286</v>
      </c>
      <c r="D1064" t="s">
        <v>182</v>
      </c>
      <c r="E1064" t="s">
        <v>1060</v>
      </c>
      <c r="F1064" t="s">
        <v>1919</v>
      </c>
      <c r="G1064" t="s">
        <v>2390</v>
      </c>
      <c r="H1064" t="s">
        <v>3401</v>
      </c>
      <c r="I1064" t="s">
        <v>3494</v>
      </c>
      <c r="J1064">
        <v>10314</v>
      </c>
      <c r="K1064" t="s">
        <v>3522</v>
      </c>
      <c r="L1064" t="s">
        <v>3525</v>
      </c>
      <c r="M1064" t="s">
        <v>3661</v>
      </c>
      <c r="N1064" t="s">
        <v>4110</v>
      </c>
      <c r="O1064" t="s">
        <v>4137</v>
      </c>
      <c r="P1064" t="s">
        <v>4145</v>
      </c>
      <c r="Q1064" t="s">
        <v>4147</v>
      </c>
      <c r="R1064" t="s">
        <v>3522</v>
      </c>
      <c r="T1064" t="s">
        <v>4156</v>
      </c>
      <c r="U1064" t="s">
        <v>4168</v>
      </c>
      <c r="V1064" t="s">
        <v>336</v>
      </c>
      <c r="W1064">
        <v>859</v>
      </c>
      <c r="X1064" t="s">
        <v>4195</v>
      </c>
      <c r="Y1064" t="s">
        <v>4201</v>
      </c>
      <c r="Z1064" t="s">
        <v>5127</v>
      </c>
      <c r="AB1064" t="s">
        <v>6458</v>
      </c>
      <c r="AC1064">
        <v>96</v>
      </c>
      <c r="AD1064" t="s">
        <v>6772</v>
      </c>
      <c r="AE1064" t="s">
        <v>6791</v>
      </c>
      <c r="AF1064">
        <v>7</v>
      </c>
      <c r="AG1064">
        <v>1</v>
      </c>
      <c r="AH1064">
        <v>0</v>
      </c>
      <c r="AI1064">
        <v>167.65</v>
      </c>
      <c r="AL1064" t="s">
        <v>6801</v>
      </c>
      <c r="AM1064">
        <v>20940</v>
      </c>
      <c r="AO1064" t="s">
        <v>6920</v>
      </c>
      <c r="AP1064" t="s">
        <v>6929</v>
      </c>
      <c r="AQ1064" t="s">
        <v>6945</v>
      </c>
      <c r="AR1064" t="s">
        <v>6967</v>
      </c>
    </row>
    <row r="1065" spans="1:44">
      <c r="A1065" s="1">
        <f>HYPERLINK("https://lsnyc.legalserver.org/matter/dynamic-profile/view/1903512","19-1903512")</f>
        <v>0</v>
      </c>
      <c r="B1065" t="s">
        <v>47</v>
      </c>
      <c r="C1065" t="s">
        <v>323</v>
      </c>
      <c r="E1065" t="s">
        <v>1061</v>
      </c>
      <c r="F1065" t="s">
        <v>1920</v>
      </c>
      <c r="G1065" t="s">
        <v>2909</v>
      </c>
      <c r="H1065" t="s">
        <v>3129</v>
      </c>
      <c r="I1065" t="s">
        <v>3501</v>
      </c>
      <c r="J1065">
        <v>11101</v>
      </c>
      <c r="K1065" t="s">
        <v>3522</v>
      </c>
      <c r="L1065" t="s">
        <v>3525</v>
      </c>
      <c r="M1065" t="s">
        <v>3975</v>
      </c>
      <c r="N1065" t="s">
        <v>4109</v>
      </c>
      <c r="O1065" t="s">
        <v>4134</v>
      </c>
      <c r="Q1065" t="s">
        <v>4147</v>
      </c>
      <c r="R1065" t="s">
        <v>3523</v>
      </c>
      <c r="T1065" t="s">
        <v>4156</v>
      </c>
      <c r="U1065" t="s">
        <v>4168</v>
      </c>
      <c r="V1065" t="s">
        <v>296</v>
      </c>
      <c r="W1065">
        <v>1800</v>
      </c>
      <c r="X1065" t="s">
        <v>4192</v>
      </c>
      <c r="Y1065" t="s">
        <v>4200</v>
      </c>
      <c r="Z1065" t="s">
        <v>5128</v>
      </c>
      <c r="AA1065" t="s">
        <v>5482</v>
      </c>
      <c r="AB1065" t="s">
        <v>6459</v>
      </c>
      <c r="AC1065">
        <v>6</v>
      </c>
      <c r="AD1065" t="s">
        <v>6771</v>
      </c>
      <c r="AE1065" t="s">
        <v>3526</v>
      </c>
      <c r="AF1065">
        <v>2</v>
      </c>
      <c r="AG1065">
        <v>2</v>
      </c>
      <c r="AH1065">
        <v>2</v>
      </c>
      <c r="AI1065">
        <v>167.77</v>
      </c>
      <c r="AL1065" t="s">
        <v>6802</v>
      </c>
      <c r="AM1065">
        <v>43200</v>
      </c>
      <c r="AP1065" t="s">
        <v>6926</v>
      </c>
    </row>
    <row r="1066" spans="1:44">
      <c r="A1066" s="1">
        <f>HYPERLINK("https://lsnyc.legalserver.org/matter/dynamic-profile/view/1907245","19-1907245")</f>
        <v>0</v>
      </c>
      <c r="B1066" t="s">
        <v>143</v>
      </c>
      <c r="C1066" t="s">
        <v>239</v>
      </c>
      <c r="E1066" t="s">
        <v>1062</v>
      </c>
      <c r="F1066" t="s">
        <v>954</v>
      </c>
      <c r="G1066" t="s">
        <v>2549</v>
      </c>
      <c r="H1066" t="s">
        <v>3402</v>
      </c>
      <c r="I1066" t="s">
        <v>3494</v>
      </c>
      <c r="J1066">
        <v>10304</v>
      </c>
      <c r="K1066" t="s">
        <v>3522</v>
      </c>
      <c r="L1066" t="s">
        <v>3525</v>
      </c>
      <c r="M1066" t="s">
        <v>3976</v>
      </c>
      <c r="N1066" t="s">
        <v>4109</v>
      </c>
      <c r="O1066" t="s">
        <v>4134</v>
      </c>
      <c r="Q1066" t="s">
        <v>4147</v>
      </c>
      <c r="R1066" t="s">
        <v>3523</v>
      </c>
      <c r="T1066" t="s">
        <v>4161</v>
      </c>
      <c r="U1066" t="s">
        <v>4168</v>
      </c>
      <c r="V1066" t="s">
        <v>239</v>
      </c>
      <c r="W1066">
        <v>213</v>
      </c>
      <c r="X1066" t="s">
        <v>4195</v>
      </c>
      <c r="Y1066" t="s">
        <v>4203</v>
      </c>
      <c r="Z1066" t="s">
        <v>5129</v>
      </c>
      <c r="AB1066" t="s">
        <v>6460</v>
      </c>
      <c r="AC1066">
        <v>403</v>
      </c>
      <c r="AD1066" t="s">
        <v>6778</v>
      </c>
      <c r="AE1066" t="s">
        <v>6786</v>
      </c>
      <c r="AF1066">
        <v>7</v>
      </c>
      <c r="AG1066">
        <v>1</v>
      </c>
      <c r="AH1066">
        <v>1</v>
      </c>
      <c r="AI1066">
        <v>167.9</v>
      </c>
      <c r="AL1066" t="s">
        <v>6801</v>
      </c>
      <c r="AM1066">
        <v>28392</v>
      </c>
      <c r="AP1066" t="s">
        <v>6941</v>
      </c>
      <c r="AQ1066" t="s">
        <v>6945</v>
      </c>
      <c r="AR1066" t="s">
        <v>6968</v>
      </c>
    </row>
    <row r="1067" spans="1:44">
      <c r="A1067" s="1">
        <f>HYPERLINK("https://lsnyc.legalserver.org/matter/dynamic-profile/view/1910905","19-1910905")</f>
        <v>0</v>
      </c>
      <c r="B1067" t="s">
        <v>159</v>
      </c>
      <c r="C1067" t="s">
        <v>198</v>
      </c>
      <c r="D1067" t="s">
        <v>220</v>
      </c>
      <c r="E1067" t="s">
        <v>847</v>
      </c>
      <c r="F1067" t="s">
        <v>1281</v>
      </c>
      <c r="G1067" t="s">
        <v>2910</v>
      </c>
      <c r="H1067" t="s">
        <v>3140</v>
      </c>
      <c r="I1067" t="s">
        <v>3495</v>
      </c>
      <c r="J1067">
        <v>10034</v>
      </c>
      <c r="K1067" t="s">
        <v>3522</v>
      </c>
      <c r="L1067" t="s">
        <v>3525</v>
      </c>
      <c r="N1067" t="s">
        <v>4113</v>
      </c>
      <c r="O1067" t="s">
        <v>4132</v>
      </c>
      <c r="P1067" t="s">
        <v>4139</v>
      </c>
      <c r="Q1067" t="s">
        <v>4147</v>
      </c>
      <c r="R1067" t="s">
        <v>3523</v>
      </c>
      <c r="T1067" t="s">
        <v>4156</v>
      </c>
      <c r="V1067" t="s">
        <v>198</v>
      </c>
      <c r="W1067">
        <v>1191.97</v>
      </c>
      <c r="X1067" t="s">
        <v>4196</v>
      </c>
      <c r="Y1067" t="s">
        <v>4201</v>
      </c>
      <c r="Z1067" t="s">
        <v>5130</v>
      </c>
      <c r="AB1067" t="s">
        <v>6461</v>
      </c>
      <c r="AC1067">
        <v>48</v>
      </c>
      <c r="AD1067" t="s">
        <v>6772</v>
      </c>
      <c r="AE1067" t="s">
        <v>6791</v>
      </c>
      <c r="AF1067">
        <v>24</v>
      </c>
      <c r="AG1067">
        <v>1</v>
      </c>
      <c r="AH1067">
        <v>0</v>
      </c>
      <c r="AI1067">
        <v>168.07</v>
      </c>
      <c r="AL1067" t="s">
        <v>6802</v>
      </c>
      <c r="AM1067">
        <v>20991.6</v>
      </c>
      <c r="AQ1067" t="s">
        <v>6945</v>
      </c>
    </row>
    <row r="1068" spans="1:44">
      <c r="A1068" s="1">
        <f>HYPERLINK("https://lsnyc.legalserver.org/matter/dynamic-profile/view/1907797","19-1907797")</f>
        <v>0</v>
      </c>
      <c r="B1068" t="s">
        <v>97</v>
      </c>
      <c r="C1068" t="s">
        <v>222</v>
      </c>
      <c r="E1068" t="s">
        <v>482</v>
      </c>
      <c r="F1068" t="s">
        <v>1921</v>
      </c>
      <c r="G1068" t="s">
        <v>2264</v>
      </c>
      <c r="H1068" t="s">
        <v>3211</v>
      </c>
      <c r="I1068" t="s">
        <v>3490</v>
      </c>
      <c r="J1068">
        <v>11212</v>
      </c>
      <c r="K1068" t="s">
        <v>3522</v>
      </c>
      <c r="L1068" t="s">
        <v>3525</v>
      </c>
      <c r="M1068" t="s">
        <v>3526</v>
      </c>
      <c r="N1068" t="s">
        <v>4112</v>
      </c>
      <c r="O1068" t="s">
        <v>4135</v>
      </c>
      <c r="Q1068" t="s">
        <v>4147</v>
      </c>
      <c r="R1068" t="s">
        <v>3522</v>
      </c>
      <c r="T1068" t="s">
        <v>4156</v>
      </c>
      <c r="U1068" t="s">
        <v>4168</v>
      </c>
      <c r="V1068" t="s">
        <v>207</v>
      </c>
      <c r="W1068">
        <v>1050</v>
      </c>
      <c r="X1068" t="s">
        <v>4193</v>
      </c>
      <c r="Y1068" t="s">
        <v>4206</v>
      </c>
      <c r="Z1068" t="s">
        <v>5131</v>
      </c>
      <c r="AA1068" t="s">
        <v>3526</v>
      </c>
      <c r="AB1068" t="s">
        <v>6462</v>
      </c>
      <c r="AC1068">
        <v>96</v>
      </c>
      <c r="AD1068" t="s">
        <v>6772</v>
      </c>
      <c r="AE1068" t="s">
        <v>6791</v>
      </c>
      <c r="AF1068">
        <v>30</v>
      </c>
      <c r="AG1068">
        <v>1</v>
      </c>
      <c r="AH1068">
        <v>0</v>
      </c>
      <c r="AI1068">
        <v>168.13</v>
      </c>
      <c r="AL1068" t="s">
        <v>6801</v>
      </c>
      <c r="AM1068">
        <v>21000</v>
      </c>
    </row>
    <row r="1069" spans="1:44">
      <c r="A1069" s="1">
        <f>HYPERLINK("https://lsnyc.legalserver.org/matter/dynamic-profile/view/1914899","19-1914899")</f>
        <v>0</v>
      </c>
      <c r="B1069" t="s">
        <v>87</v>
      </c>
      <c r="C1069" t="s">
        <v>301</v>
      </c>
      <c r="E1069" t="s">
        <v>1063</v>
      </c>
      <c r="F1069" t="s">
        <v>1922</v>
      </c>
      <c r="G1069" t="s">
        <v>2911</v>
      </c>
      <c r="H1069" t="s">
        <v>3403</v>
      </c>
      <c r="I1069" t="s">
        <v>3495</v>
      </c>
      <c r="J1069">
        <v>10033</v>
      </c>
      <c r="K1069" t="s">
        <v>3522</v>
      </c>
      <c r="L1069" t="s">
        <v>3525</v>
      </c>
      <c r="N1069" t="s">
        <v>4108</v>
      </c>
      <c r="O1069" t="s">
        <v>4134</v>
      </c>
      <c r="Q1069" t="s">
        <v>4147</v>
      </c>
      <c r="R1069" t="s">
        <v>3523</v>
      </c>
      <c r="T1069" t="s">
        <v>4156</v>
      </c>
      <c r="V1069" t="s">
        <v>301</v>
      </c>
      <c r="W1069">
        <v>1200</v>
      </c>
      <c r="X1069" t="s">
        <v>4196</v>
      </c>
      <c r="Y1069" t="s">
        <v>4201</v>
      </c>
      <c r="Z1069" t="s">
        <v>5132</v>
      </c>
      <c r="AB1069" t="s">
        <v>6463</v>
      </c>
      <c r="AC1069">
        <v>60</v>
      </c>
      <c r="AD1069" t="s">
        <v>6772</v>
      </c>
      <c r="AE1069" t="s">
        <v>3526</v>
      </c>
      <c r="AF1069">
        <v>4</v>
      </c>
      <c r="AG1069">
        <v>1</v>
      </c>
      <c r="AH1069">
        <v>0</v>
      </c>
      <c r="AI1069">
        <v>168.13</v>
      </c>
      <c r="AL1069" t="s">
        <v>6801</v>
      </c>
      <c r="AM1069">
        <v>21000</v>
      </c>
    </row>
    <row r="1070" spans="1:44">
      <c r="A1070" s="1">
        <f>HYPERLINK("https://lsnyc.legalserver.org/matter/dynamic-profile/view/1914180","19-1914180")</f>
        <v>0</v>
      </c>
      <c r="B1070" t="s">
        <v>87</v>
      </c>
      <c r="C1070" t="s">
        <v>191</v>
      </c>
      <c r="E1070" t="s">
        <v>1063</v>
      </c>
      <c r="F1070" t="s">
        <v>1922</v>
      </c>
      <c r="G1070" t="s">
        <v>2911</v>
      </c>
      <c r="H1070" t="s">
        <v>3403</v>
      </c>
      <c r="I1070" t="s">
        <v>3495</v>
      </c>
      <c r="J1070">
        <v>10033</v>
      </c>
      <c r="K1070" t="s">
        <v>3522</v>
      </c>
      <c r="L1070" t="s">
        <v>3525</v>
      </c>
      <c r="N1070" t="s">
        <v>4109</v>
      </c>
      <c r="O1070" t="s">
        <v>4134</v>
      </c>
      <c r="Q1070" t="s">
        <v>4147</v>
      </c>
      <c r="R1070" t="s">
        <v>3523</v>
      </c>
      <c r="T1070" t="s">
        <v>4156</v>
      </c>
      <c r="V1070" t="s">
        <v>191</v>
      </c>
      <c r="W1070">
        <v>1200</v>
      </c>
      <c r="X1070" t="s">
        <v>4196</v>
      </c>
      <c r="Y1070" t="s">
        <v>4205</v>
      </c>
      <c r="Z1070" t="s">
        <v>5132</v>
      </c>
      <c r="AB1070" t="s">
        <v>6463</v>
      </c>
      <c r="AC1070">
        <v>60</v>
      </c>
      <c r="AD1070" t="s">
        <v>6772</v>
      </c>
      <c r="AE1070" t="s">
        <v>3526</v>
      </c>
      <c r="AF1070">
        <v>4</v>
      </c>
      <c r="AG1070">
        <v>1</v>
      </c>
      <c r="AH1070">
        <v>0</v>
      </c>
      <c r="AI1070">
        <v>168.13</v>
      </c>
      <c r="AL1070" t="s">
        <v>6801</v>
      </c>
      <c r="AM1070">
        <v>21000</v>
      </c>
    </row>
    <row r="1071" spans="1:44">
      <c r="A1071" s="1">
        <f>HYPERLINK("https://lsnyc.legalserver.org/matter/dynamic-profile/view/1914738","19-1914738")</f>
        <v>0</v>
      </c>
      <c r="B1071" t="s">
        <v>91</v>
      </c>
      <c r="C1071" t="s">
        <v>267</v>
      </c>
      <c r="E1071" t="s">
        <v>423</v>
      </c>
      <c r="F1071" t="s">
        <v>1507</v>
      </c>
      <c r="G1071" t="s">
        <v>2912</v>
      </c>
      <c r="H1071" t="s">
        <v>3148</v>
      </c>
      <c r="I1071" t="s">
        <v>3495</v>
      </c>
      <c r="J1071">
        <v>10029</v>
      </c>
      <c r="K1071" t="s">
        <v>3522</v>
      </c>
      <c r="L1071" t="s">
        <v>3525</v>
      </c>
      <c r="M1071" t="s">
        <v>3977</v>
      </c>
      <c r="N1071" t="s">
        <v>4109</v>
      </c>
      <c r="O1071" t="s">
        <v>4134</v>
      </c>
      <c r="Q1071" t="s">
        <v>4147</v>
      </c>
      <c r="R1071" t="s">
        <v>3523</v>
      </c>
      <c r="T1071" t="s">
        <v>4156</v>
      </c>
      <c r="U1071" t="s">
        <v>4168</v>
      </c>
      <c r="V1071" t="s">
        <v>269</v>
      </c>
      <c r="W1071">
        <v>2100</v>
      </c>
      <c r="X1071" t="s">
        <v>4196</v>
      </c>
      <c r="Z1071" t="s">
        <v>5133</v>
      </c>
      <c r="AB1071" t="s">
        <v>6464</v>
      </c>
      <c r="AC1071">
        <v>10</v>
      </c>
      <c r="AD1071" t="s">
        <v>6771</v>
      </c>
      <c r="AE1071" t="s">
        <v>3526</v>
      </c>
      <c r="AF1071">
        <v>14</v>
      </c>
      <c r="AG1071">
        <v>1</v>
      </c>
      <c r="AH1071">
        <v>0</v>
      </c>
      <c r="AI1071">
        <v>168.13</v>
      </c>
      <c r="AL1071" t="s">
        <v>6801</v>
      </c>
      <c r="AM1071">
        <v>21000</v>
      </c>
    </row>
    <row r="1072" spans="1:44">
      <c r="A1072" s="1">
        <f>HYPERLINK("https://lsnyc.legalserver.org/matter/dynamic-profile/view/1913306","19-1913306")</f>
        <v>0</v>
      </c>
      <c r="B1072" t="s">
        <v>67</v>
      </c>
      <c r="C1072" t="s">
        <v>359</v>
      </c>
      <c r="E1072" t="s">
        <v>586</v>
      </c>
      <c r="F1072" t="s">
        <v>1923</v>
      </c>
      <c r="G1072" t="s">
        <v>2212</v>
      </c>
      <c r="H1072">
        <v>47</v>
      </c>
      <c r="I1072" t="s">
        <v>3490</v>
      </c>
      <c r="J1072">
        <v>11213</v>
      </c>
      <c r="K1072" t="s">
        <v>3522</v>
      </c>
      <c r="L1072" t="s">
        <v>3525</v>
      </c>
      <c r="M1072" t="s">
        <v>3526</v>
      </c>
      <c r="N1072" t="s">
        <v>3554</v>
      </c>
      <c r="O1072" t="s">
        <v>4135</v>
      </c>
      <c r="Q1072" t="s">
        <v>4147</v>
      </c>
      <c r="R1072" t="s">
        <v>3522</v>
      </c>
      <c r="T1072" t="s">
        <v>4156</v>
      </c>
      <c r="V1072" t="s">
        <v>359</v>
      </c>
      <c r="W1072">
        <v>1017.21</v>
      </c>
      <c r="X1072" t="s">
        <v>4193</v>
      </c>
      <c r="Y1072" t="s">
        <v>4198</v>
      </c>
      <c r="Z1072" t="s">
        <v>5134</v>
      </c>
      <c r="AB1072" t="s">
        <v>6465</v>
      </c>
      <c r="AC1072">
        <v>31</v>
      </c>
      <c r="AD1072" t="s">
        <v>6772</v>
      </c>
      <c r="AE1072" t="s">
        <v>3526</v>
      </c>
      <c r="AF1072">
        <v>22</v>
      </c>
      <c r="AG1072">
        <v>2</v>
      </c>
      <c r="AH1072">
        <v>1</v>
      </c>
      <c r="AI1072">
        <v>168.78</v>
      </c>
      <c r="AL1072" t="s">
        <v>6801</v>
      </c>
      <c r="AM1072">
        <v>36000</v>
      </c>
    </row>
    <row r="1073" spans="1:42">
      <c r="A1073" s="1">
        <f>HYPERLINK("https://lsnyc.legalserver.org/matter/dynamic-profile/view/1910829","19-1910829")</f>
        <v>0</v>
      </c>
      <c r="B1073" t="s">
        <v>68</v>
      </c>
      <c r="C1073" t="s">
        <v>201</v>
      </c>
      <c r="E1073" t="s">
        <v>1064</v>
      </c>
      <c r="F1073" t="s">
        <v>1924</v>
      </c>
      <c r="G1073" t="s">
        <v>2913</v>
      </c>
      <c r="I1073" t="s">
        <v>3490</v>
      </c>
      <c r="J1073">
        <v>11207</v>
      </c>
      <c r="K1073" t="s">
        <v>3522</v>
      </c>
      <c r="L1073" t="s">
        <v>3527</v>
      </c>
      <c r="M1073" t="s">
        <v>3978</v>
      </c>
      <c r="N1073" t="s">
        <v>4107</v>
      </c>
      <c r="O1073" t="s">
        <v>4135</v>
      </c>
      <c r="Q1073" t="s">
        <v>4147</v>
      </c>
      <c r="R1073" t="s">
        <v>3523</v>
      </c>
      <c r="T1073" t="s">
        <v>4156</v>
      </c>
      <c r="U1073" t="s">
        <v>4168</v>
      </c>
      <c r="V1073" t="s">
        <v>257</v>
      </c>
      <c r="W1073">
        <v>2400</v>
      </c>
      <c r="X1073" t="s">
        <v>4193</v>
      </c>
      <c r="Y1073" t="s">
        <v>4203</v>
      </c>
      <c r="Z1073" t="s">
        <v>5135</v>
      </c>
      <c r="AA1073" t="s">
        <v>5640</v>
      </c>
      <c r="AB1073" t="s">
        <v>6466</v>
      </c>
      <c r="AC1073">
        <v>3</v>
      </c>
      <c r="AD1073" t="s">
        <v>6771</v>
      </c>
      <c r="AE1073" t="s">
        <v>3526</v>
      </c>
      <c r="AF1073">
        <v>8</v>
      </c>
      <c r="AG1073">
        <v>1</v>
      </c>
      <c r="AH1073">
        <v>2</v>
      </c>
      <c r="AI1073">
        <v>168.78</v>
      </c>
      <c r="AL1073" t="s">
        <v>6801</v>
      </c>
      <c r="AM1073">
        <v>36000</v>
      </c>
    </row>
    <row r="1074" spans="1:42">
      <c r="A1074" s="1">
        <f>HYPERLINK("https://lsnyc.legalserver.org/matter/dynamic-profile/view/1908602","19-1908602")</f>
        <v>0</v>
      </c>
      <c r="B1074" t="s">
        <v>47</v>
      </c>
      <c r="C1074" t="s">
        <v>279</v>
      </c>
      <c r="E1074" t="s">
        <v>596</v>
      </c>
      <c r="F1074" t="s">
        <v>1925</v>
      </c>
      <c r="G1074" t="s">
        <v>2914</v>
      </c>
      <c r="I1074" t="s">
        <v>3506</v>
      </c>
      <c r="J1074">
        <v>11422</v>
      </c>
      <c r="K1074" t="s">
        <v>3522</v>
      </c>
      <c r="L1074" t="s">
        <v>3525</v>
      </c>
      <c r="M1074" t="s">
        <v>3979</v>
      </c>
      <c r="N1074" t="s">
        <v>4107</v>
      </c>
      <c r="O1074" t="s">
        <v>4132</v>
      </c>
      <c r="Q1074" t="s">
        <v>4147</v>
      </c>
      <c r="R1074" t="s">
        <v>3523</v>
      </c>
      <c r="T1074" t="s">
        <v>4156</v>
      </c>
      <c r="U1074" t="s">
        <v>4167</v>
      </c>
      <c r="V1074" t="s">
        <v>279</v>
      </c>
      <c r="W1074">
        <v>1028</v>
      </c>
      <c r="X1074" t="s">
        <v>4192</v>
      </c>
      <c r="Y1074" t="s">
        <v>4197</v>
      </c>
      <c r="Z1074" t="s">
        <v>5136</v>
      </c>
      <c r="AA1074" t="s">
        <v>5641</v>
      </c>
      <c r="AB1074" t="s">
        <v>6467</v>
      </c>
      <c r="AC1074">
        <v>2</v>
      </c>
      <c r="AD1074" t="s">
        <v>6783</v>
      </c>
      <c r="AE1074" t="s">
        <v>3526</v>
      </c>
      <c r="AF1074">
        <v>13</v>
      </c>
      <c r="AG1074">
        <v>1</v>
      </c>
      <c r="AH1074">
        <v>0</v>
      </c>
      <c r="AI1074">
        <v>169.48</v>
      </c>
      <c r="AL1074" t="s">
        <v>6801</v>
      </c>
      <c r="AM1074">
        <v>21168</v>
      </c>
    </row>
    <row r="1075" spans="1:42">
      <c r="A1075" s="1">
        <f>HYPERLINK("https://lsnyc.legalserver.org/matter/dynamic-profile/view/1915466","19-1915466")</f>
        <v>0</v>
      </c>
      <c r="B1075" t="s">
        <v>111</v>
      </c>
      <c r="C1075" t="s">
        <v>258</v>
      </c>
      <c r="E1075" t="s">
        <v>1065</v>
      </c>
      <c r="F1075" t="s">
        <v>1781</v>
      </c>
      <c r="G1075" t="s">
        <v>2915</v>
      </c>
      <c r="H1075" t="s">
        <v>3149</v>
      </c>
      <c r="I1075" t="s">
        <v>3490</v>
      </c>
      <c r="J1075">
        <v>11208</v>
      </c>
      <c r="K1075" t="s">
        <v>3522</v>
      </c>
      <c r="L1075" t="s">
        <v>3525</v>
      </c>
      <c r="M1075" t="s">
        <v>3980</v>
      </c>
      <c r="N1075" t="s">
        <v>4107</v>
      </c>
      <c r="O1075" t="s">
        <v>4135</v>
      </c>
      <c r="Q1075" t="s">
        <v>4147</v>
      </c>
      <c r="R1075" t="s">
        <v>3523</v>
      </c>
      <c r="T1075" t="s">
        <v>4156</v>
      </c>
      <c r="U1075" t="s">
        <v>4168</v>
      </c>
      <c r="V1075" t="s">
        <v>258</v>
      </c>
      <c r="W1075">
        <v>1250</v>
      </c>
      <c r="X1075" t="s">
        <v>4193</v>
      </c>
      <c r="Y1075" t="s">
        <v>4213</v>
      </c>
      <c r="Z1075" t="s">
        <v>5137</v>
      </c>
      <c r="AA1075" t="s">
        <v>3562</v>
      </c>
      <c r="AB1075" t="s">
        <v>6468</v>
      </c>
      <c r="AC1075">
        <v>1</v>
      </c>
      <c r="AD1075" t="s">
        <v>6771</v>
      </c>
      <c r="AE1075" t="s">
        <v>3526</v>
      </c>
      <c r="AF1075">
        <v>4</v>
      </c>
      <c r="AG1075">
        <v>2</v>
      </c>
      <c r="AH1075">
        <v>3</v>
      </c>
      <c r="AI1075">
        <v>169.71</v>
      </c>
      <c r="AL1075" t="s">
        <v>6802</v>
      </c>
      <c r="AM1075">
        <v>51200</v>
      </c>
    </row>
    <row r="1076" spans="1:42">
      <c r="A1076" s="1">
        <f>HYPERLINK("https://lsnyc.legalserver.org/matter/dynamic-profile/view/1916804","19-1916804")</f>
        <v>0</v>
      </c>
      <c r="B1076" t="s">
        <v>52</v>
      </c>
      <c r="C1076" t="s">
        <v>195</v>
      </c>
      <c r="E1076" t="s">
        <v>586</v>
      </c>
      <c r="F1076" t="s">
        <v>1511</v>
      </c>
      <c r="G1076" t="s">
        <v>2640</v>
      </c>
      <c r="H1076" t="s">
        <v>3177</v>
      </c>
      <c r="I1076" t="s">
        <v>3490</v>
      </c>
      <c r="J1076">
        <v>11220</v>
      </c>
      <c r="K1076" t="s">
        <v>3522</v>
      </c>
      <c r="L1076" t="s">
        <v>3525</v>
      </c>
      <c r="N1076" t="s">
        <v>4115</v>
      </c>
      <c r="O1076" t="s">
        <v>4134</v>
      </c>
      <c r="Q1076" t="s">
        <v>4147</v>
      </c>
      <c r="R1076" t="s">
        <v>3522</v>
      </c>
      <c r="T1076" t="s">
        <v>4156</v>
      </c>
      <c r="V1076" t="s">
        <v>208</v>
      </c>
      <c r="W1076">
        <v>1375</v>
      </c>
      <c r="X1076" t="s">
        <v>4193</v>
      </c>
      <c r="Z1076" t="s">
        <v>4828</v>
      </c>
      <c r="AB1076" t="s">
        <v>6182</v>
      </c>
      <c r="AC1076">
        <v>54</v>
      </c>
      <c r="AF1076">
        <v>16</v>
      </c>
      <c r="AG1076">
        <v>2</v>
      </c>
      <c r="AH1076">
        <v>0</v>
      </c>
      <c r="AI1076">
        <v>170.31</v>
      </c>
      <c r="AL1076" t="s">
        <v>6801</v>
      </c>
      <c r="AM1076">
        <v>28800</v>
      </c>
    </row>
    <row r="1077" spans="1:42">
      <c r="A1077" s="1">
        <f>HYPERLINK("https://lsnyc.legalserver.org/matter/dynamic-profile/view/1914495","19-1914495")</f>
        <v>0</v>
      </c>
      <c r="B1077" t="s">
        <v>96</v>
      </c>
      <c r="C1077" t="s">
        <v>199</v>
      </c>
      <c r="E1077" t="s">
        <v>940</v>
      </c>
      <c r="F1077" t="s">
        <v>756</v>
      </c>
      <c r="G1077" t="s">
        <v>2916</v>
      </c>
      <c r="H1077" t="s">
        <v>3207</v>
      </c>
      <c r="I1077" t="s">
        <v>3493</v>
      </c>
      <c r="J1077">
        <v>10452</v>
      </c>
      <c r="K1077" t="s">
        <v>3522</v>
      </c>
      <c r="L1077" t="s">
        <v>3525</v>
      </c>
      <c r="N1077" t="s">
        <v>4110</v>
      </c>
      <c r="O1077" t="s">
        <v>4137</v>
      </c>
      <c r="Q1077" t="s">
        <v>4147</v>
      </c>
      <c r="R1077" t="s">
        <v>3522</v>
      </c>
      <c r="T1077" t="s">
        <v>4156</v>
      </c>
      <c r="V1077" t="s">
        <v>273</v>
      </c>
      <c r="W1077">
        <v>2170.39</v>
      </c>
      <c r="X1077" t="s">
        <v>4194</v>
      </c>
      <c r="Y1077" t="s">
        <v>4206</v>
      </c>
      <c r="Z1077" t="s">
        <v>5138</v>
      </c>
      <c r="AC1077">
        <v>63</v>
      </c>
      <c r="AE1077" t="s">
        <v>3526</v>
      </c>
      <c r="AF1077">
        <v>14</v>
      </c>
      <c r="AG1077">
        <v>3</v>
      </c>
      <c r="AH1077">
        <v>0</v>
      </c>
      <c r="AI1077">
        <v>170.65</v>
      </c>
      <c r="AL1077" t="s">
        <v>6801</v>
      </c>
      <c r="AM1077">
        <v>36400</v>
      </c>
    </row>
    <row r="1078" spans="1:42">
      <c r="A1078" s="1">
        <f>HYPERLINK("https://lsnyc.legalserver.org/matter/dynamic-profile/view/1909513","19-1909513")</f>
        <v>0</v>
      </c>
      <c r="B1078" t="s">
        <v>123</v>
      </c>
      <c r="C1078" t="s">
        <v>184</v>
      </c>
      <c r="D1078" t="s">
        <v>297</v>
      </c>
      <c r="E1078" t="s">
        <v>718</v>
      </c>
      <c r="F1078" t="s">
        <v>1301</v>
      </c>
      <c r="G1078" t="s">
        <v>2890</v>
      </c>
      <c r="H1078" t="s">
        <v>3140</v>
      </c>
      <c r="I1078" t="s">
        <v>3495</v>
      </c>
      <c r="J1078">
        <v>10034</v>
      </c>
      <c r="K1078" t="s">
        <v>3522</v>
      </c>
      <c r="L1078" t="s">
        <v>3525</v>
      </c>
      <c r="N1078" t="s">
        <v>4113</v>
      </c>
      <c r="O1078" t="s">
        <v>4133</v>
      </c>
      <c r="P1078" t="s">
        <v>4142</v>
      </c>
      <c r="Q1078" t="s">
        <v>4147</v>
      </c>
      <c r="R1078" t="s">
        <v>3523</v>
      </c>
      <c r="T1078" t="s">
        <v>4156</v>
      </c>
      <c r="V1078" t="s">
        <v>184</v>
      </c>
      <c r="W1078">
        <v>1525</v>
      </c>
      <c r="X1078" t="s">
        <v>4196</v>
      </c>
      <c r="Y1078" t="s">
        <v>4201</v>
      </c>
      <c r="Z1078" t="s">
        <v>5139</v>
      </c>
      <c r="AB1078" t="s">
        <v>6469</v>
      </c>
      <c r="AC1078">
        <v>25</v>
      </c>
      <c r="AD1078" t="s">
        <v>6772</v>
      </c>
      <c r="AE1078" t="s">
        <v>3526</v>
      </c>
      <c r="AF1078">
        <v>8</v>
      </c>
      <c r="AG1078">
        <v>4</v>
      </c>
      <c r="AH1078">
        <v>0</v>
      </c>
      <c r="AI1078">
        <v>171.25</v>
      </c>
      <c r="AL1078" t="s">
        <v>6802</v>
      </c>
      <c r="AM1078">
        <v>44096</v>
      </c>
    </row>
    <row r="1079" spans="1:42">
      <c r="A1079" s="1">
        <f>HYPERLINK("https://lsnyc.legalserver.org/matter/dynamic-profile/view/1912469","19-1912469")</f>
        <v>0</v>
      </c>
      <c r="B1079" t="s">
        <v>45</v>
      </c>
      <c r="C1079" t="s">
        <v>295</v>
      </c>
      <c r="E1079" t="s">
        <v>442</v>
      </c>
      <c r="F1079" t="s">
        <v>1926</v>
      </c>
      <c r="G1079" t="s">
        <v>2165</v>
      </c>
      <c r="H1079" t="s">
        <v>3156</v>
      </c>
      <c r="I1079" t="s">
        <v>3479</v>
      </c>
      <c r="J1079">
        <v>11691</v>
      </c>
      <c r="K1079" t="s">
        <v>3522</v>
      </c>
      <c r="L1079" t="s">
        <v>3525</v>
      </c>
      <c r="M1079" t="s">
        <v>3679</v>
      </c>
      <c r="N1079" t="s">
        <v>4108</v>
      </c>
      <c r="O1079" t="s">
        <v>4134</v>
      </c>
      <c r="Q1079" t="s">
        <v>4147</v>
      </c>
      <c r="R1079" t="s">
        <v>3523</v>
      </c>
      <c r="T1079" t="s">
        <v>4156</v>
      </c>
      <c r="U1079" t="s">
        <v>4168</v>
      </c>
      <c r="V1079" t="s">
        <v>295</v>
      </c>
      <c r="W1079">
        <v>675</v>
      </c>
      <c r="X1079" t="s">
        <v>4192</v>
      </c>
      <c r="Y1079" t="s">
        <v>4198</v>
      </c>
      <c r="Z1079" t="s">
        <v>5140</v>
      </c>
      <c r="AB1079" t="s">
        <v>6470</v>
      </c>
      <c r="AC1079">
        <v>43</v>
      </c>
      <c r="AD1079" t="s">
        <v>6772</v>
      </c>
      <c r="AE1079" t="s">
        <v>3526</v>
      </c>
      <c r="AF1079">
        <v>5</v>
      </c>
      <c r="AG1079">
        <v>2</v>
      </c>
      <c r="AH1079">
        <v>0</v>
      </c>
      <c r="AI1079">
        <v>172.21</v>
      </c>
      <c r="AL1079" t="s">
        <v>6801</v>
      </c>
      <c r="AM1079">
        <v>29120</v>
      </c>
      <c r="AP1079" t="s">
        <v>4200</v>
      </c>
    </row>
    <row r="1080" spans="1:42">
      <c r="A1080" s="1">
        <f>HYPERLINK("https://lsnyc.legalserver.org/matter/dynamic-profile/view/1912457","19-1912457")</f>
        <v>0</v>
      </c>
      <c r="B1080" t="s">
        <v>45</v>
      </c>
      <c r="C1080" t="s">
        <v>295</v>
      </c>
      <c r="E1080" t="s">
        <v>442</v>
      </c>
      <c r="F1080" t="s">
        <v>1926</v>
      </c>
      <c r="G1080" t="s">
        <v>2165</v>
      </c>
      <c r="H1080" t="s">
        <v>3156</v>
      </c>
      <c r="I1080" t="s">
        <v>3479</v>
      </c>
      <c r="J1080">
        <v>11691</v>
      </c>
      <c r="K1080" t="s">
        <v>3522</v>
      </c>
      <c r="L1080" t="s">
        <v>3525</v>
      </c>
      <c r="N1080" t="s">
        <v>4109</v>
      </c>
      <c r="O1080" t="s">
        <v>4133</v>
      </c>
      <c r="Q1080" t="s">
        <v>4147</v>
      </c>
      <c r="R1080" t="s">
        <v>3522</v>
      </c>
      <c r="T1080" t="s">
        <v>4156</v>
      </c>
      <c r="V1080" t="s">
        <v>295</v>
      </c>
      <c r="W1080">
        <v>675</v>
      </c>
      <c r="X1080" t="s">
        <v>4192</v>
      </c>
      <c r="Y1080" t="s">
        <v>4198</v>
      </c>
      <c r="Z1080" t="s">
        <v>5140</v>
      </c>
      <c r="AB1080" t="s">
        <v>6470</v>
      </c>
      <c r="AC1080">
        <v>43</v>
      </c>
      <c r="AD1080" t="s">
        <v>6772</v>
      </c>
      <c r="AE1080" t="s">
        <v>3526</v>
      </c>
      <c r="AF1080">
        <v>5</v>
      </c>
      <c r="AG1080">
        <v>2</v>
      </c>
      <c r="AH1080">
        <v>0</v>
      </c>
      <c r="AI1080">
        <v>172.21</v>
      </c>
      <c r="AL1080" t="s">
        <v>6801</v>
      </c>
      <c r="AM1080">
        <v>29120</v>
      </c>
    </row>
    <row r="1081" spans="1:42">
      <c r="A1081" s="1">
        <f>HYPERLINK("https://lsnyc.legalserver.org/matter/dynamic-profile/view/1907090","19-1907090")</f>
        <v>0</v>
      </c>
      <c r="B1081" t="s">
        <v>83</v>
      </c>
      <c r="C1081" t="s">
        <v>244</v>
      </c>
      <c r="D1081" t="s">
        <v>279</v>
      </c>
      <c r="E1081" t="s">
        <v>1066</v>
      </c>
      <c r="F1081" t="s">
        <v>1927</v>
      </c>
      <c r="G1081" t="s">
        <v>2917</v>
      </c>
      <c r="H1081" t="s">
        <v>3131</v>
      </c>
      <c r="I1081" t="s">
        <v>3493</v>
      </c>
      <c r="J1081">
        <v>10468</v>
      </c>
      <c r="K1081" t="s">
        <v>3522</v>
      </c>
      <c r="L1081" t="s">
        <v>3525</v>
      </c>
      <c r="N1081" t="s">
        <v>4107</v>
      </c>
      <c r="O1081" t="s">
        <v>4132</v>
      </c>
      <c r="P1081" t="s">
        <v>4139</v>
      </c>
      <c r="Q1081" t="s">
        <v>4147</v>
      </c>
      <c r="R1081" t="s">
        <v>3523</v>
      </c>
      <c r="T1081" t="s">
        <v>4156</v>
      </c>
      <c r="U1081" t="s">
        <v>4168</v>
      </c>
      <c r="V1081" t="s">
        <v>279</v>
      </c>
      <c r="W1081">
        <v>978.29</v>
      </c>
      <c r="X1081" t="s">
        <v>4194</v>
      </c>
      <c r="Y1081" t="s">
        <v>4206</v>
      </c>
      <c r="Z1081" t="s">
        <v>5141</v>
      </c>
      <c r="AB1081" t="s">
        <v>6471</v>
      </c>
      <c r="AC1081">
        <v>62</v>
      </c>
      <c r="AD1081" t="s">
        <v>5524</v>
      </c>
      <c r="AE1081" t="s">
        <v>3526</v>
      </c>
      <c r="AF1081">
        <v>21</v>
      </c>
      <c r="AG1081">
        <v>2</v>
      </c>
      <c r="AH1081">
        <v>0</v>
      </c>
      <c r="AI1081">
        <v>172.21</v>
      </c>
      <c r="AL1081" t="s">
        <v>6802</v>
      </c>
      <c r="AM1081">
        <v>29120</v>
      </c>
    </row>
    <row r="1082" spans="1:42">
      <c r="A1082" s="1">
        <f>HYPERLINK("https://lsnyc.legalserver.org/matter/dynamic-profile/view/1908592","19-1908592")</f>
        <v>0</v>
      </c>
      <c r="B1082" t="s">
        <v>117</v>
      </c>
      <c r="C1082" t="s">
        <v>279</v>
      </c>
      <c r="E1082" t="s">
        <v>388</v>
      </c>
      <c r="F1082" t="s">
        <v>1214</v>
      </c>
      <c r="G1082" t="s">
        <v>2918</v>
      </c>
      <c r="H1082" t="s">
        <v>3154</v>
      </c>
      <c r="I1082" t="s">
        <v>3521</v>
      </c>
      <c r="J1082">
        <v>11375</v>
      </c>
      <c r="K1082" t="s">
        <v>3522</v>
      </c>
      <c r="L1082" t="s">
        <v>3525</v>
      </c>
      <c r="M1082" t="s">
        <v>3981</v>
      </c>
      <c r="N1082" t="s">
        <v>4109</v>
      </c>
      <c r="O1082" t="s">
        <v>4134</v>
      </c>
      <c r="Q1082" t="s">
        <v>4147</v>
      </c>
      <c r="R1082" t="s">
        <v>3523</v>
      </c>
      <c r="T1082" t="s">
        <v>4156</v>
      </c>
      <c r="U1082" t="s">
        <v>4168</v>
      </c>
      <c r="V1082" t="s">
        <v>279</v>
      </c>
      <c r="W1082">
        <v>1413.52</v>
      </c>
      <c r="X1082" t="s">
        <v>4192</v>
      </c>
      <c r="Y1082" t="s">
        <v>4197</v>
      </c>
      <c r="Z1082" t="s">
        <v>5142</v>
      </c>
      <c r="AA1082" t="s">
        <v>5642</v>
      </c>
      <c r="AB1082" t="s">
        <v>6472</v>
      </c>
      <c r="AC1082">
        <v>40</v>
      </c>
      <c r="AD1082" t="s">
        <v>5524</v>
      </c>
      <c r="AE1082" t="s">
        <v>3526</v>
      </c>
      <c r="AF1082">
        <v>15</v>
      </c>
      <c r="AG1082">
        <v>3</v>
      </c>
      <c r="AH1082">
        <v>0</v>
      </c>
      <c r="AI1082">
        <v>172.53</v>
      </c>
      <c r="AL1082" t="s">
        <v>6801</v>
      </c>
      <c r="AM1082">
        <v>36800</v>
      </c>
      <c r="AP1082" t="s">
        <v>4200</v>
      </c>
    </row>
    <row r="1083" spans="1:42">
      <c r="A1083" s="1">
        <f>HYPERLINK("https://lsnyc.legalserver.org/matter/dynamic-profile/view/1909766","19-1909766")</f>
        <v>0</v>
      </c>
      <c r="B1083" t="s">
        <v>120</v>
      </c>
      <c r="C1083" t="s">
        <v>341</v>
      </c>
      <c r="D1083" t="s">
        <v>301</v>
      </c>
      <c r="E1083" t="s">
        <v>850</v>
      </c>
      <c r="F1083" t="s">
        <v>1928</v>
      </c>
      <c r="G1083" t="s">
        <v>2440</v>
      </c>
      <c r="H1083" t="s">
        <v>3404</v>
      </c>
      <c r="I1083" t="s">
        <v>3494</v>
      </c>
      <c r="J1083">
        <v>10304</v>
      </c>
      <c r="K1083" t="s">
        <v>3522</v>
      </c>
      <c r="L1083" t="s">
        <v>3525</v>
      </c>
      <c r="M1083" t="s">
        <v>3553</v>
      </c>
      <c r="N1083" t="s">
        <v>3554</v>
      </c>
      <c r="O1083" t="s">
        <v>4132</v>
      </c>
      <c r="P1083" t="s">
        <v>4139</v>
      </c>
      <c r="Q1083" t="s">
        <v>4147</v>
      </c>
      <c r="R1083" t="s">
        <v>3523</v>
      </c>
      <c r="T1083" t="s">
        <v>4156</v>
      </c>
      <c r="U1083" t="s">
        <v>4168</v>
      </c>
      <c r="V1083" t="s">
        <v>341</v>
      </c>
      <c r="W1083">
        <v>694</v>
      </c>
      <c r="X1083" t="s">
        <v>4195</v>
      </c>
      <c r="Y1083" t="s">
        <v>4202</v>
      </c>
      <c r="Z1083" t="s">
        <v>5143</v>
      </c>
      <c r="AB1083" t="s">
        <v>6473</v>
      </c>
      <c r="AC1083">
        <v>150</v>
      </c>
      <c r="AD1083" t="s">
        <v>6778</v>
      </c>
      <c r="AE1083" t="s">
        <v>6786</v>
      </c>
      <c r="AF1083">
        <v>4</v>
      </c>
      <c r="AG1083">
        <v>1</v>
      </c>
      <c r="AH1083">
        <v>0</v>
      </c>
      <c r="AI1083">
        <v>172.55</v>
      </c>
      <c r="AL1083" t="s">
        <v>6801</v>
      </c>
      <c r="AM1083">
        <v>21552</v>
      </c>
    </row>
    <row r="1084" spans="1:42">
      <c r="A1084" s="1">
        <f>HYPERLINK("https://lsnyc.legalserver.org/matter/dynamic-profile/view/1914905","19-1914905")</f>
        <v>0</v>
      </c>
      <c r="B1084" t="s">
        <v>67</v>
      </c>
      <c r="C1084" t="s">
        <v>301</v>
      </c>
      <c r="E1084" t="s">
        <v>1067</v>
      </c>
      <c r="F1084" t="s">
        <v>1929</v>
      </c>
      <c r="G1084" t="s">
        <v>2919</v>
      </c>
      <c r="H1084">
        <v>6</v>
      </c>
      <c r="I1084" t="s">
        <v>3490</v>
      </c>
      <c r="J1084">
        <v>11213</v>
      </c>
      <c r="K1084" t="s">
        <v>3522</v>
      </c>
      <c r="L1084" t="s">
        <v>3525</v>
      </c>
      <c r="M1084" t="s">
        <v>3847</v>
      </c>
      <c r="N1084" t="s">
        <v>4115</v>
      </c>
      <c r="O1084" t="s">
        <v>4134</v>
      </c>
      <c r="Q1084" t="s">
        <v>4147</v>
      </c>
      <c r="R1084" t="s">
        <v>3522</v>
      </c>
      <c r="T1084" t="s">
        <v>4156</v>
      </c>
      <c r="U1084" t="s">
        <v>4168</v>
      </c>
      <c r="V1084" t="s">
        <v>4178</v>
      </c>
      <c r="W1084">
        <v>998.03</v>
      </c>
      <c r="X1084" t="s">
        <v>4193</v>
      </c>
      <c r="Y1084" t="s">
        <v>4206</v>
      </c>
      <c r="Z1084" t="s">
        <v>5144</v>
      </c>
      <c r="AA1084" t="s">
        <v>3562</v>
      </c>
      <c r="AB1084" t="s">
        <v>6474</v>
      </c>
      <c r="AC1084">
        <v>31</v>
      </c>
      <c r="AD1084" t="s">
        <v>6772</v>
      </c>
      <c r="AE1084" t="s">
        <v>3526</v>
      </c>
      <c r="AF1084">
        <v>15</v>
      </c>
      <c r="AG1084">
        <v>3</v>
      </c>
      <c r="AH1084">
        <v>0</v>
      </c>
      <c r="AI1084">
        <v>173.28</v>
      </c>
      <c r="AL1084" t="s">
        <v>6806</v>
      </c>
      <c r="AM1084">
        <v>36960</v>
      </c>
    </row>
    <row r="1085" spans="1:42">
      <c r="A1085" s="1">
        <f>HYPERLINK("https://lsnyc.legalserver.org/matter/dynamic-profile/view/1913104","19-1913104")</f>
        <v>0</v>
      </c>
      <c r="B1085" t="s">
        <v>67</v>
      </c>
      <c r="C1085" t="s">
        <v>186</v>
      </c>
      <c r="E1085" t="s">
        <v>1067</v>
      </c>
      <c r="F1085" t="s">
        <v>1929</v>
      </c>
      <c r="G1085" t="s">
        <v>2919</v>
      </c>
      <c r="H1085">
        <v>6</v>
      </c>
      <c r="I1085" t="s">
        <v>3490</v>
      </c>
      <c r="J1085">
        <v>11213</v>
      </c>
      <c r="K1085" t="s">
        <v>3522</v>
      </c>
      <c r="L1085" t="s">
        <v>3525</v>
      </c>
      <c r="M1085" t="s">
        <v>3554</v>
      </c>
      <c r="N1085" t="s">
        <v>3554</v>
      </c>
      <c r="O1085" t="s">
        <v>4135</v>
      </c>
      <c r="Q1085" t="s">
        <v>4147</v>
      </c>
      <c r="R1085" t="s">
        <v>3522</v>
      </c>
      <c r="T1085" t="s">
        <v>4156</v>
      </c>
      <c r="U1085" t="s">
        <v>4168</v>
      </c>
      <c r="V1085" t="s">
        <v>237</v>
      </c>
      <c r="W1085">
        <v>998.03</v>
      </c>
      <c r="X1085" t="s">
        <v>4193</v>
      </c>
      <c r="Y1085" t="s">
        <v>4206</v>
      </c>
      <c r="Z1085" t="s">
        <v>5144</v>
      </c>
      <c r="AB1085" t="s">
        <v>6474</v>
      </c>
      <c r="AC1085">
        <v>31</v>
      </c>
      <c r="AD1085" t="s">
        <v>6772</v>
      </c>
      <c r="AE1085" t="s">
        <v>3526</v>
      </c>
      <c r="AF1085">
        <v>15</v>
      </c>
      <c r="AG1085">
        <v>3</v>
      </c>
      <c r="AH1085">
        <v>0</v>
      </c>
      <c r="AI1085">
        <v>173.28</v>
      </c>
      <c r="AL1085" t="s">
        <v>6806</v>
      </c>
      <c r="AM1085">
        <v>36960</v>
      </c>
    </row>
    <row r="1086" spans="1:42">
      <c r="A1086" s="1">
        <f>HYPERLINK("https://lsnyc.legalserver.org/matter/dynamic-profile/view/1902184","19-1902184")</f>
        <v>0</v>
      </c>
      <c r="B1086" t="s">
        <v>61</v>
      </c>
      <c r="C1086" t="s">
        <v>358</v>
      </c>
      <c r="D1086" t="s">
        <v>234</v>
      </c>
      <c r="E1086" t="s">
        <v>1068</v>
      </c>
      <c r="F1086" t="s">
        <v>1732</v>
      </c>
      <c r="G1086" t="s">
        <v>2920</v>
      </c>
      <c r="H1086">
        <v>2</v>
      </c>
      <c r="I1086" t="s">
        <v>3490</v>
      </c>
      <c r="J1086">
        <v>11207</v>
      </c>
      <c r="K1086" t="s">
        <v>3522</v>
      </c>
      <c r="L1086" t="s">
        <v>3525</v>
      </c>
      <c r="M1086" t="s">
        <v>3982</v>
      </c>
      <c r="N1086" t="s">
        <v>4108</v>
      </c>
      <c r="O1086" t="s">
        <v>4135</v>
      </c>
      <c r="P1086" t="s">
        <v>4142</v>
      </c>
      <c r="Q1086" t="s">
        <v>4147</v>
      </c>
      <c r="R1086" t="s">
        <v>3523</v>
      </c>
      <c r="T1086" t="s">
        <v>4156</v>
      </c>
      <c r="U1086" t="s">
        <v>4168</v>
      </c>
      <c r="V1086" t="s">
        <v>336</v>
      </c>
      <c r="W1086">
        <v>2379</v>
      </c>
      <c r="X1086" t="s">
        <v>4193</v>
      </c>
      <c r="Y1086" t="s">
        <v>4205</v>
      </c>
      <c r="Z1086" t="s">
        <v>5145</v>
      </c>
      <c r="AA1086" t="s">
        <v>5505</v>
      </c>
      <c r="AB1086" t="s">
        <v>6475</v>
      </c>
      <c r="AC1086">
        <v>4</v>
      </c>
      <c r="AD1086" t="s">
        <v>6771</v>
      </c>
      <c r="AE1086" t="s">
        <v>6786</v>
      </c>
      <c r="AF1086">
        <v>0</v>
      </c>
      <c r="AG1086">
        <v>1</v>
      </c>
      <c r="AH1086">
        <v>2</v>
      </c>
      <c r="AI1086">
        <v>173.46</v>
      </c>
      <c r="AL1086" t="s">
        <v>6801</v>
      </c>
      <c r="AM1086">
        <v>37000</v>
      </c>
    </row>
    <row r="1087" spans="1:42">
      <c r="A1087" s="1">
        <f>HYPERLINK("https://lsnyc.legalserver.org/matter/dynamic-profile/view/1911533","19-1911533")</f>
        <v>0</v>
      </c>
      <c r="B1087" t="s">
        <v>123</v>
      </c>
      <c r="C1087" t="s">
        <v>215</v>
      </c>
      <c r="E1087" t="s">
        <v>1069</v>
      </c>
      <c r="F1087" t="s">
        <v>1621</v>
      </c>
      <c r="G1087" t="s">
        <v>2454</v>
      </c>
      <c r="I1087" t="s">
        <v>3495</v>
      </c>
      <c r="J1087">
        <v>10040</v>
      </c>
      <c r="K1087" t="s">
        <v>3522</v>
      </c>
      <c r="L1087" t="s">
        <v>3525</v>
      </c>
      <c r="N1087" t="s">
        <v>4115</v>
      </c>
      <c r="O1087" t="s">
        <v>4134</v>
      </c>
      <c r="Q1087" t="s">
        <v>4147</v>
      </c>
      <c r="R1087" t="s">
        <v>3522</v>
      </c>
      <c r="T1087" t="s">
        <v>4156</v>
      </c>
      <c r="V1087" t="s">
        <v>215</v>
      </c>
      <c r="W1087">
        <v>10296</v>
      </c>
      <c r="X1087" t="s">
        <v>4196</v>
      </c>
      <c r="Y1087" t="s">
        <v>4201</v>
      </c>
      <c r="Z1087" t="s">
        <v>5146</v>
      </c>
      <c r="AB1087" t="s">
        <v>6476</v>
      </c>
      <c r="AC1087">
        <v>44</v>
      </c>
      <c r="AD1087" t="s">
        <v>6772</v>
      </c>
      <c r="AE1087" t="s">
        <v>3526</v>
      </c>
      <c r="AF1087">
        <v>11</v>
      </c>
      <c r="AG1087">
        <v>3</v>
      </c>
      <c r="AH1087">
        <v>0</v>
      </c>
      <c r="AI1087">
        <v>173.46</v>
      </c>
      <c r="AL1087" t="s">
        <v>6802</v>
      </c>
      <c r="AM1087">
        <v>37000</v>
      </c>
    </row>
    <row r="1088" spans="1:42">
      <c r="A1088" s="1">
        <f>HYPERLINK("https://lsnyc.legalserver.org/matter/dynamic-profile/view/1912332","19-1912332")</f>
        <v>0</v>
      </c>
      <c r="B1088" t="s">
        <v>123</v>
      </c>
      <c r="C1088" t="s">
        <v>202</v>
      </c>
      <c r="E1088" t="s">
        <v>1069</v>
      </c>
      <c r="F1088" t="s">
        <v>1621</v>
      </c>
      <c r="G1088" t="s">
        <v>2454</v>
      </c>
      <c r="I1088" t="s">
        <v>3495</v>
      </c>
      <c r="J1088">
        <v>10040</v>
      </c>
      <c r="K1088" t="s">
        <v>3522</v>
      </c>
      <c r="L1088" t="s">
        <v>3525</v>
      </c>
      <c r="N1088" t="s">
        <v>4110</v>
      </c>
      <c r="O1088" t="s">
        <v>4134</v>
      </c>
      <c r="Q1088" t="s">
        <v>4147</v>
      </c>
      <c r="R1088" t="s">
        <v>3522</v>
      </c>
      <c r="T1088" t="s">
        <v>4156</v>
      </c>
      <c r="V1088" t="s">
        <v>202</v>
      </c>
      <c r="W1088">
        <v>1296</v>
      </c>
      <c r="X1088" t="s">
        <v>4196</v>
      </c>
      <c r="Y1088" t="s">
        <v>4201</v>
      </c>
      <c r="Z1088" t="s">
        <v>5146</v>
      </c>
      <c r="AB1088" t="s">
        <v>6476</v>
      </c>
      <c r="AC1088">
        <v>44</v>
      </c>
      <c r="AD1088" t="s">
        <v>6772</v>
      </c>
      <c r="AE1088" t="s">
        <v>3526</v>
      </c>
      <c r="AF1088">
        <v>11</v>
      </c>
      <c r="AG1088">
        <v>3</v>
      </c>
      <c r="AH1088">
        <v>0</v>
      </c>
      <c r="AI1088">
        <v>173.46</v>
      </c>
      <c r="AL1088" t="s">
        <v>6802</v>
      </c>
      <c r="AM1088">
        <v>37000</v>
      </c>
    </row>
    <row r="1089" spans="1:44">
      <c r="A1089" s="1">
        <f>HYPERLINK("https://lsnyc.legalserver.org/matter/dynamic-profile/view/1912491","19-1912491")</f>
        <v>0</v>
      </c>
      <c r="B1089" t="s">
        <v>123</v>
      </c>
      <c r="C1089" t="s">
        <v>295</v>
      </c>
      <c r="D1089" t="s">
        <v>258</v>
      </c>
      <c r="E1089" t="s">
        <v>1069</v>
      </c>
      <c r="F1089" t="s">
        <v>1621</v>
      </c>
      <c r="G1089" t="s">
        <v>2454</v>
      </c>
      <c r="I1089" t="s">
        <v>3495</v>
      </c>
      <c r="J1089">
        <v>10040</v>
      </c>
      <c r="K1089" t="s">
        <v>3522</v>
      </c>
      <c r="L1089" t="s">
        <v>3525</v>
      </c>
      <c r="M1089" t="s">
        <v>3983</v>
      </c>
      <c r="N1089" t="s">
        <v>4110</v>
      </c>
      <c r="O1089" t="s">
        <v>4137</v>
      </c>
      <c r="P1089" t="s">
        <v>4145</v>
      </c>
      <c r="Q1089" t="s">
        <v>4147</v>
      </c>
      <c r="R1089" t="s">
        <v>3522</v>
      </c>
      <c r="T1089" t="s">
        <v>4156</v>
      </c>
      <c r="V1089" t="s">
        <v>295</v>
      </c>
      <c r="W1089">
        <v>1296</v>
      </c>
      <c r="X1089" t="s">
        <v>4196</v>
      </c>
      <c r="Y1089" t="s">
        <v>4201</v>
      </c>
      <c r="Z1089" t="s">
        <v>5146</v>
      </c>
      <c r="AB1089" t="s">
        <v>6476</v>
      </c>
      <c r="AC1089">
        <v>44</v>
      </c>
      <c r="AD1089" t="s">
        <v>6772</v>
      </c>
      <c r="AE1089" t="s">
        <v>3526</v>
      </c>
      <c r="AF1089">
        <v>11</v>
      </c>
      <c r="AG1089">
        <v>3</v>
      </c>
      <c r="AH1089">
        <v>0</v>
      </c>
      <c r="AI1089">
        <v>173.46</v>
      </c>
      <c r="AL1089" t="s">
        <v>6802</v>
      </c>
      <c r="AM1089">
        <v>37000</v>
      </c>
    </row>
    <row r="1090" spans="1:44">
      <c r="A1090" s="1">
        <f>HYPERLINK("https://lsnyc.legalserver.org/matter/dynamic-profile/view/1910993","19-1910993")</f>
        <v>0</v>
      </c>
      <c r="B1090" t="s">
        <v>99</v>
      </c>
      <c r="C1090" t="s">
        <v>270</v>
      </c>
      <c r="E1090" t="s">
        <v>426</v>
      </c>
      <c r="F1090" t="s">
        <v>1479</v>
      </c>
      <c r="G1090" t="s">
        <v>2480</v>
      </c>
      <c r="H1090" t="s">
        <v>3220</v>
      </c>
      <c r="I1090" t="s">
        <v>3495</v>
      </c>
      <c r="J1090">
        <v>10035</v>
      </c>
      <c r="K1090" t="s">
        <v>3522</v>
      </c>
      <c r="L1090" t="s">
        <v>3525</v>
      </c>
      <c r="N1090" t="s">
        <v>4108</v>
      </c>
      <c r="O1090" t="s">
        <v>4136</v>
      </c>
      <c r="Q1090" t="s">
        <v>4147</v>
      </c>
      <c r="R1090" t="s">
        <v>3522</v>
      </c>
      <c r="T1090" t="s">
        <v>4156</v>
      </c>
      <c r="U1090" t="s">
        <v>4168</v>
      </c>
      <c r="V1090" t="s">
        <v>270</v>
      </c>
      <c r="W1090">
        <v>1044</v>
      </c>
      <c r="X1090" t="s">
        <v>4196</v>
      </c>
      <c r="Y1090" t="s">
        <v>4212</v>
      </c>
      <c r="Z1090" t="s">
        <v>5147</v>
      </c>
      <c r="AB1090" t="s">
        <v>6477</v>
      </c>
      <c r="AC1090">
        <v>60</v>
      </c>
      <c r="AD1090" t="s">
        <v>6772</v>
      </c>
      <c r="AE1090" t="s">
        <v>3526</v>
      </c>
      <c r="AF1090">
        <v>15</v>
      </c>
      <c r="AG1090">
        <v>3</v>
      </c>
      <c r="AH1090">
        <v>1</v>
      </c>
      <c r="AI1090">
        <v>174.76</v>
      </c>
      <c r="AL1090" t="s">
        <v>6801</v>
      </c>
      <c r="AM1090">
        <v>45000</v>
      </c>
    </row>
    <row r="1091" spans="1:44">
      <c r="A1091" s="1">
        <f>HYPERLINK("https://lsnyc.legalserver.org/matter/dynamic-profile/view/1902323","19-1902323")</f>
        <v>0</v>
      </c>
      <c r="B1091" t="s">
        <v>61</v>
      </c>
      <c r="C1091" t="s">
        <v>180</v>
      </c>
      <c r="D1091" t="s">
        <v>247</v>
      </c>
      <c r="E1091" t="s">
        <v>1070</v>
      </c>
      <c r="F1091" t="s">
        <v>1930</v>
      </c>
      <c r="G1091" t="s">
        <v>2921</v>
      </c>
      <c r="H1091" t="s">
        <v>3151</v>
      </c>
      <c r="I1091" t="s">
        <v>3490</v>
      </c>
      <c r="J1091">
        <v>11217</v>
      </c>
      <c r="K1091" t="s">
        <v>3522</v>
      </c>
      <c r="L1091" t="s">
        <v>3525</v>
      </c>
      <c r="M1091" t="s">
        <v>3554</v>
      </c>
      <c r="N1091" t="s">
        <v>4108</v>
      </c>
      <c r="O1091" t="s">
        <v>4135</v>
      </c>
      <c r="P1091" t="s">
        <v>4142</v>
      </c>
      <c r="Q1091" t="s">
        <v>4147</v>
      </c>
      <c r="R1091" t="s">
        <v>3523</v>
      </c>
      <c r="T1091" t="s">
        <v>4156</v>
      </c>
      <c r="V1091" t="s">
        <v>336</v>
      </c>
      <c r="W1091">
        <v>1550</v>
      </c>
      <c r="X1091" t="s">
        <v>4193</v>
      </c>
      <c r="Y1091" t="s">
        <v>4200</v>
      </c>
      <c r="Z1091" t="s">
        <v>5148</v>
      </c>
      <c r="AA1091" t="s">
        <v>3526</v>
      </c>
      <c r="AB1091" t="s">
        <v>6478</v>
      </c>
      <c r="AC1091">
        <v>6</v>
      </c>
      <c r="AD1091" t="s">
        <v>6772</v>
      </c>
      <c r="AE1091" t="s">
        <v>3526</v>
      </c>
      <c r="AF1091">
        <v>9</v>
      </c>
      <c r="AG1091">
        <v>1</v>
      </c>
      <c r="AH1091">
        <v>0</v>
      </c>
      <c r="AI1091">
        <v>175.13</v>
      </c>
      <c r="AL1091" t="s">
        <v>6801</v>
      </c>
      <c r="AM1091">
        <v>21874</v>
      </c>
    </row>
    <row r="1092" spans="1:44">
      <c r="A1092" s="1">
        <f>HYPERLINK("https://lsnyc.legalserver.org/matter/dynamic-profile/view/1908712","19-1908712")</f>
        <v>0</v>
      </c>
      <c r="B1092" t="s">
        <v>85</v>
      </c>
      <c r="C1092" t="s">
        <v>247</v>
      </c>
      <c r="E1092" t="s">
        <v>1022</v>
      </c>
      <c r="F1092" t="s">
        <v>1327</v>
      </c>
      <c r="G1092" t="s">
        <v>2922</v>
      </c>
      <c r="H1092">
        <v>2</v>
      </c>
      <c r="I1092" t="s">
        <v>3494</v>
      </c>
      <c r="J1092">
        <v>10304</v>
      </c>
      <c r="K1092" t="s">
        <v>3522</v>
      </c>
      <c r="L1092" t="s">
        <v>3525</v>
      </c>
      <c r="M1092" t="s">
        <v>3553</v>
      </c>
      <c r="N1092" t="s">
        <v>3554</v>
      </c>
      <c r="O1092" t="s">
        <v>4133</v>
      </c>
      <c r="Q1092" t="s">
        <v>4147</v>
      </c>
      <c r="T1092" t="s">
        <v>4156</v>
      </c>
      <c r="V1092" t="s">
        <v>247</v>
      </c>
      <c r="W1092">
        <v>1200</v>
      </c>
      <c r="X1092" t="s">
        <v>4195</v>
      </c>
      <c r="Y1092" t="s">
        <v>4205</v>
      </c>
      <c r="Z1092" t="s">
        <v>5149</v>
      </c>
      <c r="AB1092" t="s">
        <v>5482</v>
      </c>
      <c r="AC1092">
        <v>2</v>
      </c>
      <c r="AD1092" t="s">
        <v>6771</v>
      </c>
      <c r="AE1092" t="s">
        <v>3526</v>
      </c>
      <c r="AF1092">
        <v>14</v>
      </c>
      <c r="AG1092">
        <v>1</v>
      </c>
      <c r="AH1092">
        <v>1</v>
      </c>
      <c r="AI1092">
        <v>175.28</v>
      </c>
      <c r="AL1092" t="s">
        <v>6802</v>
      </c>
      <c r="AM1092">
        <v>29640</v>
      </c>
      <c r="AP1092" t="s">
        <v>6926</v>
      </c>
      <c r="AQ1092" t="s">
        <v>6945</v>
      </c>
      <c r="AR1092" t="s">
        <v>7009</v>
      </c>
    </row>
    <row r="1093" spans="1:44">
      <c r="A1093" s="1">
        <f>HYPERLINK("https://lsnyc.legalserver.org/matter/dynamic-profile/view/1912824","19-1912824")</f>
        <v>0</v>
      </c>
      <c r="B1093" t="s">
        <v>79</v>
      </c>
      <c r="C1093" t="s">
        <v>253</v>
      </c>
      <c r="E1093" t="s">
        <v>1071</v>
      </c>
      <c r="F1093" t="s">
        <v>1521</v>
      </c>
      <c r="G1093" t="s">
        <v>2923</v>
      </c>
      <c r="H1093" t="s">
        <v>3405</v>
      </c>
      <c r="I1093" t="s">
        <v>3493</v>
      </c>
      <c r="J1093">
        <v>10452</v>
      </c>
      <c r="K1093" t="s">
        <v>3522</v>
      </c>
      <c r="L1093" t="s">
        <v>3525</v>
      </c>
      <c r="N1093" t="s">
        <v>4108</v>
      </c>
      <c r="O1093" t="s">
        <v>4134</v>
      </c>
      <c r="Q1093" t="s">
        <v>4147</v>
      </c>
      <c r="R1093" t="s">
        <v>3523</v>
      </c>
      <c r="T1093" t="s">
        <v>4156</v>
      </c>
      <c r="V1093" t="s">
        <v>245</v>
      </c>
      <c r="W1093">
        <v>854</v>
      </c>
      <c r="X1093" t="s">
        <v>4194</v>
      </c>
      <c r="Y1093" t="s">
        <v>4206</v>
      </c>
      <c r="Z1093" t="s">
        <v>5150</v>
      </c>
      <c r="AB1093" t="s">
        <v>6479</v>
      </c>
      <c r="AC1093">
        <v>44</v>
      </c>
      <c r="AD1093" t="s">
        <v>6772</v>
      </c>
      <c r="AE1093" t="s">
        <v>6791</v>
      </c>
      <c r="AF1093">
        <v>42</v>
      </c>
      <c r="AG1093">
        <v>2</v>
      </c>
      <c r="AH1093">
        <v>0</v>
      </c>
      <c r="AI1093">
        <v>175.49</v>
      </c>
      <c r="AL1093" t="s">
        <v>6802</v>
      </c>
      <c r="AM1093">
        <v>29676</v>
      </c>
    </row>
    <row r="1094" spans="1:44">
      <c r="A1094" s="1">
        <f>HYPERLINK("https://lsnyc.legalserver.org/matter/dynamic-profile/view/1908072","19-1908072")</f>
        <v>0</v>
      </c>
      <c r="B1094" t="s">
        <v>63</v>
      </c>
      <c r="C1094" t="s">
        <v>262</v>
      </c>
      <c r="E1094" t="s">
        <v>1072</v>
      </c>
      <c r="F1094" t="s">
        <v>1931</v>
      </c>
      <c r="G1094" t="s">
        <v>2924</v>
      </c>
      <c r="H1094" t="s">
        <v>3129</v>
      </c>
      <c r="I1094" t="s">
        <v>3490</v>
      </c>
      <c r="J1094">
        <v>11233</v>
      </c>
      <c r="K1094" t="s">
        <v>3522</v>
      </c>
      <c r="L1094" t="s">
        <v>3525</v>
      </c>
      <c r="M1094" t="s">
        <v>3984</v>
      </c>
      <c r="N1094" t="s">
        <v>4109</v>
      </c>
      <c r="O1094" t="s">
        <v>4134</v>
      </c>
      <c r="Q1094" t="s">
        <v>4147</v>
      </c>
      <c r="R1094" t="s">
        <v>3523</v>
      </c>
      <c r="T1094" t="s">
        <v>4156</v>
      </c>
      <c r="U1094" t="s">
        <v>4169</v>
      </c>
      <c r="V1094" t="s">
        <v>373</v>
      </c>
      <c r="W1094">
        <v>1132</v>
      </c>
      <c r="X1094" t="s">
        <v>4193</v>
      </c>
      <c r="Z1094" t="s">
        <v>5151</v>
      </c>
      <c r="AB1094" t="s">
        <v>6480</v>
      </c>
      <c r="AC1094">
        <v>6</v>
      </c>
      <c r="AD1094" t="s">
        <v>6772</v>
      </c>
      <c r="AF1094">
        <v>10</v>
      </c>
      <c r="AG1094">
        <v>1</v>
      </c>
      <c r="AH1094">
        <v>0</v>
      </c>
      <c r="AI1094">
        <v>175.53</v>
      </c>
      <c r="AL1094" t="s">
        <v>6801</v>
      </c>
      <c r="AM1094">
        <v>21924</v>
      </c>
    </row>
    <row r="1095" spans="1:44">
      <c r="A1095" s="1">
        <f>HYPERLINK("https://lsnyc.legalserver.org/matter/dynamic-profile/view/1911840","19-1911840")</f>
        <v>0</v>
      </c>
      <c r="B1095" t="s">
        <v>119</v>
      </c>
      <c r="C1095" t="s">
        <v>190</v>
      </c>
      <c r="D1095" t="s">
        <v>208</v>
      </c>
      <c r="E1095" t="s">
        <v>1073</v>
      </c>
      <c r="F1095" t="s">
        <v>1655</v>
      </c>
      <c r="G1095" t="s">
        <v>2925</v>
      </c>
      <c r="H1095" t="s">
        <v>3170</v>
      </c>
      <c r="I1095" t="s">
        <v>3495</v>
      </c>
      <c r="J1095">
        <v>10039</v>
      </c>
      <c r="K1095" t="s">
        <v>3522</v>
      </c>
      <c r="L1095" t="s">
        <v>3525</v>
      </c>
      <c r="N1095" t="s">
        <v>3554</v>
      </c>
      <c r="O1095" t="s">
        <v>4132</v>
      </c>
      <c r="P1095" t="s">
        <v>4139</v>
      </c>
      <c r="Q1095" t="s">
        <v>4147</v>
      </c>
      <c r="R1095" t="s">
        <v>3523</v>
      </c>
      <c r="T1095" t="s">
        <v>4156</v>
      </c>
      <c r="V1095" t="s">
        <v>260</v>
      </c>
      <c r="W1095">
        <v>795.1900000000001</v>
      </c>
      <c r="X1095" t="s">
        <v>4196</v>
      </c>
      <c r="Y1095" t="s">
        <v>4206</v>
      </c>
      <c r="Z1095" t="s">
        <v>5152</v>
      </c>
      <c r="AB1095" t="s">
        <v>6481</v>
      </c>
      <c r="AC1095">
        <v>0</v>
      </c>
      <c r="AD1095" t="s">
        <v>6772</v>
      </c>
      <c r="AE1095" t="s">
        <v>3526</v>
      </c>
      <c r="AF1095">
        <v>7</v>
      </c>
      <c r="AG1095">
        <v>1</v>
      </c>
      <c r="AH1095">
        <v>2</v>
      </c>
      <c r="AI1095">
        <v>175.53</v>
      </c>
      <c r="AL1095" t="s">
        <v>6801</v>
      </c>
      <c r="AM1095">
        <v>37440</v>
      </c>
    </row>
    <row r="1096" spans="1:44">
      <c r="A1096" s="1">
        <f>HYPERLINK("https://lsnyc.legalserver.org/matter/dynamic-profile/view/1911206","19-1911206")</f>
        <v>0</v>
      </c>
      <c r="B1096" t="s">
        <v>44</v>
      </c>
      <c r="C1096" t="s">
        <v>212</v>
      </c>
      <c r="E1096" t="s">
        <v>1074</v>
      </c>
      <c r="F1096" t="s">
        <v>1932</v>
      </c>
      <c r="G1096" t="s">
        <v>2926</v>
      </c>
      <c r="H1096" t="s">
        <v>3355</v>
      </c>
      <c r="I1096" t="s">
        <v>3502</v>
      </c>
      <c r="J1096">
        <v>11413</v>
      </c>
      <c r="K1096" t="s">
        <v>3522</v>
      </c>
      <c r="L1096" t="s">
        <v>3525</v>
      </c>
      <c r="M1096" t="s">
        <v>3985</v>
      </c>
      <c r="N1096" t="s">
        <v>4107</v>
      </c>
      <c r="O1096" t="s">
        <v>4134</v>
      </c>
      <c r="Q1096" t="s">
        <v>4147</v>
      </c>
      <c r="R1096" t="s">
        <v>3523</v>
      </c>
      <c r="T1096" t="s">
        <v>4156</v>
      </c>
      <c r="U1096" t="s">
        <v>4168</v>
      </c>
      <c r="V1096" t="s">
        <v>199</v>
      </c>
      <c r="W1096">
        <v>1000</v>
      </c>
      <c r="X1096" t="s">
        <v>4192</v>
      </c>
      <c r="Y1096" t="s">
        <v>4203</v>
      </c>
      <c r="Z1096" t="s">
        <v>5153</v>
      </c>
      <c r="AB1096" t="s">
        <v>6482</v>
      </c>
      <c r="AC1096">
        <v>2</v>
      </c>
      <c r="AD1096" t="s">
        <v>6771</v>
      </c>
      <c r="AE1096" t="s">
        <v>3526</v>
      </c>
      <c r="AF1096">
        <v>1</v>
      </c>
      <c r="AG1096">
        <v>2</v>
      </c>
      <c r="AH1096">
        <v>0</v>
      </c>
      <c r="AI1096">
        <v>176.56</v>
      </c>
      <c r="AL1096" t="s">
        <v>6801</v>
      </c>
      <c r="AM1096">
        <v>29856</v>
      </c>
    </row>
    <row r="1097" spans="1:44">
      <c r="A1097" s="1">
        <f>HYPERLINK("https://lsnyc.legalserver.org/matter/dynamic-profile/view/1911749","19-1911749")</f>
        <v>0</v>
      </c>
      <c r="B1097" t="s">
        <v>159</v>
      </c>
      <c r="C1097" t="s">
        <v>194</v>
      </c>
      <c r="E1097" t="s">
        <v>1075</v>
      </c>
      <c r="F1097" t="s">
        <v>1933</v>
      </c>
      <c r="G1097" t="s">
        <v>2927</v>
      </c>
      <c r="H1097">
        <v>23</v>
      </c>
      <c r="I1097" t="s">
        <v>3495</v>
      </c>
      <c r="J1097">
        <v>10032</v>
      </c>
      <c r="K1097" t="s">
        <v>3522</v>
      </c>
      <c r="L1097" t="s">
        <v>3525</v>
      </c>
      <c r="N1097" t="s">
        <v>4108</v>
      </c>
      <c r="O1097" t="s">
        <v>4134</v>
      </c>
      <c r="Q1097" t="s">
        <v>4147</v>
      </c>
      <c r="R1097" t="s">
        <v>3523</v>
      </c>
      <c r="T1097" t="s">
        <v>4156</v>
      </c>
      <c r="V1097" t="s">
        <v>194</v>
      </c>
      <c r="W1097">
        <v>1076</v>
      </c>
      <c r="X1097" t="s">
        <v>4196</v>
      </c>
      <c r="Y1097" t="s">
        <v>4201</v>
      </c>
      <c r="Z1097" t="s">
        <v>5154</v>
      </c>
      <c r="AB1097" t="s">
        <v>6483</v>
      </c>
      <c r="AC1097">
        <v>28</v>
      </c>
      <c r="AD1097" t="s">
        <v>6772</v>
      </c>
      <c r="AE1097" t="s">
        <v>3526</v>
      </c>
      <c r="AF1097">
        <v>30</v>
      </c>
      <c r="AG1097">
        <v>2</v>
      </c>
      <c r="AH1097">
        <v>0</v>
      </c>
      <c r="AI1097">
        <v>176.82</v>
      </c>
      <c r="AL1097" t="s">
        <v>6801</v>
      </c>
      <c r="AM1097">
        <v>29900</v>
      </c>
    </row>
    <row r="1098" spans="1:44">
      <c r="A1098" s="1">
        <f>HYPERLINK("https://lsnyc.legalserver.org/matter/dynamic-profile/view/1910937","19-1910937")</f>
        <v>0</v>
      </c>
      <c r="B1098" t="s">
        <v>159</v>
      </c>
      <c r="C1098" t="s">
        <v>198</v>
      </c>
      <c r="E1098" t="s">
        <v>1075</v>
      </c>
      <c r="F1098" t="s">
        <v>1933</v>
      </c>
      <c r="G1098" t="s">
        <v>2927</v>
      </c>
      <c r="H1098">
        <v>23</v>
      </c>
      <c r="I1098" t="s">
        <v>3495</v>
      </c>
      <c r="J1098">
        <v>10032</v>
      </c>
      <c r="K1098" t="s">
        <v>3522</v>
      </c>
      <c r="L1098" t="s">
        <v>3525</v>
      </c>
      <c r="O1098" t="s">
        <v>4136</v>
      </c>
      <c r="Q1098" t="s">
        <v>4147</v>
      </c>
      <c r="R1098" t="s">
        <v>3523</v>
      </c>
      <c r="T1098" t="s">
        <v>4156</v>
      </c>
      <c r="V1098" t="s">
        <v>198</v>
      </c>
      <c r="W1098">
        <v>1076</v>
      </c>
      <c r="X1098" t="s">
        <v>4196</v>
      </c>
      <c r="Y1098" t="s">
        <v>4201</v>
      </c>
      <c r="Z1098" t="s">
        <v>5154</v>
      </c>
      <c r="AB1098" t="s">
        <v>6483</v>
      </c>
      <c r="AC1098">
        <v>28</v>
      </c>
      <c r="AD1098" t="s">
        <v>6772</v>
      </c>
      <c r="AE1098" t="s">
        <v>3526</v>
      </c>
      <c r="AF1098">
        <v>30</v>
      </c>
      <c r="AG1098">
        <v>2</v>
      </c>
      <c r="AH1098">
        <v>0</v>
      </c>
      <c r="AI1098">
        <v>176.82</v>
      </c>
      <c r="AL1098" t="s">
        <v>6801</v>
      </c>
      <c r="AM1098">
        <v>29900</v>
      </c>
    </row>
    <row r="1099" spans="1:44">
      <c r="A1099" s="1">
        <f>HYPERLINK("https://lsnyc.legalserver.org/matter/dynamic-profile/view/1914931","19-1914931")</f>
        <v>0</v>
      </c>
      <c r="B1099" t="s">
        <v>159</v>
      </c>
      <c r="C1099" t="s">
        <v>301</v>
      </c>
      <c r="E1099" t="s">
        <v>1075</v>
      </c>
      <c r="F1099" t="s">
        <v>1933</v>
      </c>
      <c r="G1099" t="s">
        <v>2927</v>
      </c>
      <c r="H1099">
        <v>23</v>
      </c>
      <c r="I1099" t="s">
        <v>3495</v>
      </c>
      <c r="J1099">
        <v>10032</v>
      </c>
      <c r="K1099" t="s">
        <v>3522</v>
      </c>
      <c r="L1099" t="s">
        <v>3525</v>
      </c>
      <c r="Q1099" t="s">
        <v>4147</v>
      </c>
      <c r="R1099" t="s">
        <v>3523</v>
      </c>
      <c r="T1099" t="s">
        <v>4156</v>
      </c>
      <c r="V1099" t="s">
        <v>301</v>
      </c>
      <c r="W1099">
        <v>1076</v>
      </c>
      <c r="X1099" t="s">
        <v>4196</v>
      </c>
      <c r="Y1099" t="s">
        <v>4201</v>
      </c>
      <c r="Z1099" t="s">
        <v>5154</v>
      </c>
      <c r="AB1099" t="s">
        <v>6483</v>
      </c>
      <c r="AC1099">
        <v>28</v>
      </c>
      <c r="AD1099" t="s">
        <v>6772</v>
      </c>
      <c r="AE1099" t="s">
        <v>3526</v>
      </c>
      <c r="AF1099">
        <v>30</v>
      </c>
      <c r="AG1099">
        <v>2</v>
      </c>
      <c r="AH1099">
        <v>0</v>
      </c>
      <c r="AI1099">
        <v>176.82</v>
      </c>
      <c r="AL1099" t="s">
        <v>6801</v>
      </c>
      <c r="AM1099">
        <v>29900</v>
      </c>
    </row>
    <row r="1100" spans="1:44">
      <c r="A1100" s="1">
        <f>HYPERLINK("https://lsnyc.legalserver.org/matter/dynamic-profile/view/1910663","19-1910663")</f>
        <v>0</v>
      </c>
      <c r="B1100" t="s">
        <v>101</v>
      </c>
      <c r="C1100" t="s">
        <v>177</v>
      </c>
      <c r="D1100" t="s">
        <v>332</v>
      </c>
      <c r="E1100" t="s">
        <v>1076</v>
      </c>
      <c r="F1100" t="s">
        <v>1379</v>
      </c>
      <c r="G1100" t="s">
        <v>2928</v>
      </c>
      <c r="H1100" t="s">
        <v>3125</v>
      </c>
      <c r="I1100" t="s">
        <v>3493</v>
      </c>
      <c r="J1100">
        <v>10453</v>
      </c>
      <c r="K1100" t="s">
        <v>3522</v>
      </c>
      <c r="L1100" t="s">
        <v>3525</v>
      </c>
      <c r="M1100" t="s">
        <v>3986</v>
      </c>
      <c r="N1100" t="s">
        <v>4109</v>
      </c>
      <c r="O1100" t="s">
        <v>4135</v>
      </c>
      <c r="P1100" t="s">
        <v>4142</v>
      </c>
      <c r="Q1100" t="s">
        <v>4147</v>
      </c>
      <c r="R1100" t="s">
        <v>3523</v>
      </c>
      <c r="T1100" t="s">
        <v>4156</v>
      </c>
      <c r="U1100" t="s">
        <v>4169</v>
      </c>
      <c r="V1100" t="s">
        <v>198</v>
      </c>
      <c r="W1100">
        <v>746.51</v>
      </c>
      <c r="X1100" t="s">
        <v>4194</v>
      </c>
      <c r="Y1100" t="s">
        <v>4205</v>
      </c>
      <c r="Z1100" t="s">
        <v>5155</v>
      </c>
      <c r="AB1100" t="s">
        <v>6484</v>
      </c>
      <c r="AC1100">
        <v>40</v>
      </c>
      <c r="AD1100" t="s">
        <v>6772</v>
      </c>
      <c r="AF1100">
        <v>31</v>
      </c>
      <c r="AG1100">
        <v>1</v>
      </c>
      <c r="AH1100">
        <v>0</v>
      </c>
      <c r="AI1100">
        <v>176.94</v>
      </c>
      <c r="AL1100" t="s">
        <v>6801</v>
      </c>
      <c r="AM1100">
        <v>22100</v>
      </c>
    </row>
    <row r="1101" spans="1:44">
      <c r="A1101" s="1">
        <f>HYPERLINK("https://lsnyc.legalserver.org/matter/dynamic-profile/view/1905630","19-1905630")</f>
        <v>0</v>
      </c>
      <c r="B1101" t="s">
        <v>52</v>
      </c>
      <c r="C1101" t="s">
        <v>312</v>
      </c>
      <c r="E1101" t="s">
        <v>1077</v>
      </c>
      <c r="F1101" t="s">
        <v>1379</v>
      </c>
      <c r="G1101" t="s">
        <v>2410</v>
      </c>
      <c r="H1101" t="s">
        <v>3242</v>
      </c>
      <c r="I1101" t="s">
        <v>3490</v>
      </c>
      <c r="J1101">
        <v>11226</v>
      </c>
      <c r="K1101" t="s">
        <v>3522</v>
      </c>
      <c r="L1101" t="s">
        <v>3525</v>
      </c>
      <c r="N1101" t="s">
        <v>4108</v>
      </c>
      <c r="O1101" t="s">
        <v>4134</v>
      </c>
      <c r="Q1101" t="s">
        <v>4147</v>
      </c>
      <c r="R1101" t="s">
        <v>3522</v>
      </c>
      <c r="S1101" t="s">
        <v>4149</v>
      </c>
      <c r="T1101" t="s">
        <v>4156</v>
      </c>
      <c r="V1101" t="s">
        <v>312</v>
      </c>
      <c r="W1101">
        <v>1165.29</v>
      </c>
      <c r="X1101" t="s">
        <v>4193</v>
      </c>
      <c r="Z1101" t="s">
        <v>5156</v>
      </c>
      <c r="AB1101" t="s">
        <v>6485</v>
      </c>
      <c r="AC1101">
        <v>36</v>
      </c>
      <c r="AD1101" t="s">
        <v>6772</v>
      </c>
      <c r="AF1101">
        <v>19</v>
      </c>
      <c r="AG1101">
        <v>2</v>
      </c>
      <c r="AH1101">
        <v>0</v>
      </c>
      <c r="AI1101">
        <v>177.41</v>
      </c>
      <c r="AL1101" t="s">
        <v>6802</v>
      </c>
      <c r="AM1101">
        <v>30000</v>
      </c>
    </row>
    <row r="1102" spans="1:44">
      <c r="A1102" s="1">
        <f>HYPERLINK("https://lsnyc.legalserver.org/matter/dynamic-profile/view/1905330","19-1905330")</f>
        <v>0</v>
      </c>
      <c r="B1102" t="s">
        <v>99</v>
      </c>
      <c r="C1102" t="s">
        <v>264</v>
      </c>
      <c r="D1102" t="s">
        <v>224</v>
      </c>
      <c r="E1102" t="s">
        <v>520</v>
      </c>
      <c r="F1102" t="s">
        <v>1214</v>
      </c>
      <c r="G1102" t="s">
        <v>2929</v>
      </c>
      <c r="H1102">
        <v>307</v>
      </c>
      <c r="I1102" t="s">
        <v>3495</v>
      </c>
      <c r="J1102">
        <v>10029</v>
      </c>
      <c r="K1102" t="s">
        <v>3522</v>
      </c>
      <c r="L1102" t="s">
        <v>3525</v>
      </c>
      <c r="N1102" t="s">
        <v>3554</v>
      </c>
      <c r="O1102" t="s">
        <v>4132</v>
      </c>
      <c r="P1102" t="s">
        <v>4139</v>
      </c>
      <c r="Q1102" t="s">
        <v>4147</v>
      </c>
      <c r="R1102" t="s">
        <v>3523</v>
      </c>
      <c r="T1102" t="s">
        <v>4156</v>
      </c>
      <c r="U1102" t="s">
        <v>4168</v>
      </c>
      <c r="V1102" t="s">
        <v>264</v>
      </c>
      <c r="W1102">
        <v>3682</v>
      </c>
      <c r="X1102" t="s">
        <v>4196</v>
      </c>
      <c r="Y1102" t="s">
        <v>4205</v>
      </c>
      <c r="Z1102" t="s">
        <v>5157</v>
      </c>
      <c r="AB1102" t="s">
        <v>6486</v>
      </c>
      <c r="AC1102">
        <v>78</v>
      </c>
      <c r="AD1102" t="s">
        <v>6772</v>
      </c>
      <c r="AE1102" t="s">
        <v>6786</v>
      </c>
      <c r="AF1102">
        <v>24</v>
      </c>
      <c r="AG1102">
        <v>3</v>
      </c>
      <c r="AH1102">
        <v>0</v>
      </c>
      <c r="AI1102">
        <v>177.67</v>
      </c>
      <c r="AL1102" t="s">
        <v>6801</v>
      </c>
      <c r="AM1102">
        <v>37896</v>
      </c>
    </row>
    <row r="1103" spans="1:44">
      <c r="A1103" s="1">
        <f>HYPERLINK("https://lsnyc.legalserver.org/matter/dynamic-profile/view/1917129","19-1917129")</f>
        <v>0</v>
      </c>
      <c r="B1103" t="s">
        <v>49</v>
      </c>
      <c r="C1103" t="s">
        <v>243</v>
      </c>
      <c r="E1103" t="s">
        <v>1078</v>
      </c>
      <c r="F1103" t="s">
        <v>1934</v>
      </c>
      <c r="G1103" t="s">
        <v>2930</v>
      </c>
      <c r="H1103" t="s">
        <v>3406</v>
      </c>
      <c r="I1103" t="s">
        <v>3487</v>
      </c>
      <c r="J1103">
        <v>11368</v>
      </c>
      <c r="K1103" t="s">
        <v>3522</v>
      </c>
      <c r="L1103" t="s">
        <v>3525</v>
      </c>
      <c r="M1103" t="s">
        <v>3987</v>
      </c>
      <c r="N1103" t="s">
        <v>4109</v>
      </c>
      <c r="O1103" t="s">
        <v>4134</v>
      </c>
      <c r="Q1103" t="s">
        <v>4147</v>
      </c>
      <c r="R1103" t="s">
        <v>3523</v>
      </c>
      <c r="T1103" t="s">
        <v>4156</v>
      </c>
      <c r="U1103" t="s">
        <v>4168</v>
      </c>
      <c r="V1103" t="s">
        <v>243</v>
      </c>
      <c r="W1103">
        <v>1211</v>
      </c>
      <c r="X1103" t="s">
        <v>4192</v>
      </c>
      <c r="Y1103" t="s">
        <v>4197</v>
      </c>
      <c r="Z1103" t="s">
        <v>5158</v>
      </c>
      <c r="AA1103" t="s">
        <v>3526</v>
      </c>
      <c r="AB1103" t="s">
        <v>6487</v>
      </c>
      <c r="AC1103">
        <v>232</v>
      </c>
      <c r="AD1103" t="s">
        <v>6772</v>
      </c>
      <c r="AE1103" t="s">
        <v>3526</v>
      </c>
      <c r="AF1103">
        <v>41</v>
      </c>
      <c r="AG1103">
        <v>1</v>
      </c>
      <c r="AH1103">
        <v>0</v>
      </c>
      <c r="AI1103">
        <v>178.03</v>
      </c>
      <c r="AL1103" t="s">
        <v>6801</v>
      </c>
      <c r="AM1103">
        <v>22236</v>
      </c>
    </row>
    <row r="1104" spans="1:44">
      <c r="A1104" s="1">
        <f>HYPERLINK("https://lsnyc.legalserver.org/matter/dynamic-profile/view/1913840","19-1913840")</f>
        <v>0</v>
      </c>
      <c r="B1104" t="s">
        <v>91</v>
      </c>
      <c r="C1104" t="s">
        <v>199</v>
      </c>
      <c r="E1104" t="s">
        <v>1079</v>
      </c>
      <c r="F1104" t="s">
        <v>1935</v>
      </c>
      <c r="G1104" t="s">
        <v>2844</v>
      </c>
      <c r="H1104" t="s">
        <v>3407</v>
      </c>
      <c r="I1104" t="s">
        <v>3495</v>
      </c>
      <c r="J1104">
        <v>10029</v>
      </c>
      <c r="K1104" t="s">
        <v>3522</v>
      </c>
      <c r="L1104" t="s">
        <v>3525</v>
      </c>
      <c r="N1104" t="s">
        <v>3554</v>
      </c>
      <c r="O1104" t="s">
        <v>4135</v>
      </c>
      <c r="Q1104" t="s">
        <v>4147</v>
      </c>
      <c r="R1104" t="s">
        <v>3522</v>
      </c>
      <c r="T1104" t="s">
        <v>4156</v>
      </c>
      <c r="U1104" t="s">
        <v>4168</v>
      </c>
      <c r="V1104" t="s">
        <v>238</v>
      </c>
      <c r="W1104">
        <v>875</v>
      </c>
      <c r="X1104" t="s">
        <v>4196</v>
      </c>
      <c r="Y1104" t="s">
        <v>4198</v>
      </c>
      <c r="Z1104" t="s">
        <v>5159</v>
      </c>
      <c r="AB1104" t="s">
        <v>6488</v>
      </c>
      <c r="AC1104">
        <v>135</v>
      </c>
      <c r="AD1104" t="s">
        <v>6772</v>
      </c>
      <c r="AE1104" t="s">
        <v>3526</v>
      </c>
      <c r="AF1104">
        <v>36</v>
      </c>
      <c r="AG1104">
        <v>3</v>
      </c>
      <c r="AH1104">
        <v>0</v>
      </c>
      <c r="AI1104">
        <v>178.15</v>
      </c>
      <c r="AL1104" t="s">
        <v>6802</v>
      </c>
      <c r="AM1104">
        <v>38000</v>
      </c>
    </row>
    <row r="1105" spans="1:42">
      <c r="A1105" s="1">
        <f>HYPERLINK("https://lsnyc.legalserver.org/matter/dynamic-profile/view/1914720","19-1914720")</f>
        <v>0</v>
      </c>
      <c r="B1105" t="s">
        <v>91</v>
      </c>
      <c r="C1105" t="s">
        <v>267</v>
      </c>
      <c r="E1105" t="s">
        <v>1079</v>
      </c>
      <c r="F1105" t="s">
        <v>1935</v>
      </c>
      <c r="G1105" t="s">
        <v>2844</v>
      </c>
      <c r="H1105" t="s">
        <v>3407</v>
      </c>
      <c r="I1105" t="s">
        <v>3495</v>
      </c>
      <c r="J1105">
        <v>10029</v>
      </c>
      <c r="K1105" t="s">
        <v>3522</v>
      </c>
      <c r="L1105" t="s">
        <v>3525</v>
      </c>
      <c r="M1105" t="s">
        <v>3988</v>
      </c>
      <c r="N1105" t="s">
        <v>4109</v>
      </c>
      <c r="O1105" t="s">
        <v>4134</v>
      </c>
      <c r="Q1105" t="s">
        <v>4147</v>
      </c>
      <c r="R1105" t="s">
        <v>3523</v>
      </c>
      <c r="T1105" t="s">
        <v>4156</v>
      </c>
      <c r="U1105" t="s">
        <v>4168</v>
      </c>
      <c r="V1105" t="s">
        <v>263</v>
      </c>
      <c r="W1105">
        <v>875</v>
      </c>
      <c r="X1105" t="s">
        <v>4196</v>
      </c>
      <c r="Y1105" t="s">
        <v>4201</v>
      </c>
      <c r="Z1105" t="s">
        <v>5159</v>
      </c>
      <c r="AB1105" t="s">
        <v>6488</v>
      </c>
      <c r="AC1105">
        <v>135</v>
      </c>
      <c r="AD1105" t="s">
        <v>6772</v>
      </c>
      <c r="AE1105" t="s">
        <v>3526</v>
      </c>
      <c r="AF1105">
        <v>36</v>
      </c>
      <c r="AG1105">
        <v>3</v>
      </c>
      <c r="AH1105">
        <v>0</v>
      </c>
      <c r="AI1105">
        <v>178.15</v>
      </c>
      <c r="AL1105" t="s">
        <v>6802</v>
      </c>
      <c r="AM1105">
        <v>38000</v>
      </c>
    </row>
    <row r="1106" spans="1:42">
      <c r="A1106" s="1">
        <f>HYPERLINK("https://lsnyc.legalserver.org/matter/dynamic-profile/view/1910169","19-1910169")</f>
        <v>0</v>
      </c>
      <c r="B1106" t="s">
        <v>93</v>
      </c>
      <c r="C1106" t="s">
        <v>318</v>
      </c>
      <c r="E1106" t="s">
        <v>1080</v>
      </c>
      <c r="F1106" t="s">
        <v>1936</v>
      </c>
      <c r="G1106" t="s">
        <v>2931</v>
      </c>
      <c r="I1106" t="s">
        <v>3495</v>
      </c>
      <c r="J1106">
        <v>10032</v>
      </c>
      <c r="K1106" t="s">
        <v>3522</v>
      </c>
      <c r="L1106" t="s">
        <v>3525</v>
      </c>
      <c r="M1106" t="s">
        <v>3989</v>
      </c>
      <c r="N1106" t="s">
        <v>4107</v>
      </c>
      <c r="O1106" t="s">
        <v>4134</v>
      </c>
      <c r="Q1106" t="s">
        <v>4147</v>
      </c>
      <c r="R1106" t="s">
        <v>3523</v>
      </c>
      <c r="T1106" t="s">
        <v>4156</v>
      </c>
      <c r="U1106" t="s">
        <v>4168</v>
      </c>
      <c r="V1106" t="s">
        <v>318</v>
      </c>
      <c r="W1106">
        <v>1036</v>
      </c>
      <c r="X1106" t="s">
        <v>4196</v>
      </c>
      <c r="Y1106" t="s">
        <v>4205</v>
      </c>
      <c r="Z1106" t="s">
        <v>5160</v>
      </c>
      <c r="AC1106">
        <v>41</v>
      </c>
      <c r="AD1106" t="s">
        <v>6772</v>
      </c>
      <c r="AE1106" t="s">
        <v>3526</v>
      </c>
      <c r="AF1106">
        <v>21</v>
      </c>
      <c r="AG1106">
        <v>5</v>
      </c>
      <c r="AH1106">
        <v>0</v>
      </c>
      <c r="AI1106">
        <v>178.56</v>
      </c>
      <c r="AL1106" t="s">
        <v>6802</v>
      </c>
      <c r="AM1106">
        <v>53872</v>
      </c>
    </row>
    <row r="1107" spans="1:42">
      <c r="A1107" s="1">
        <f>HYPERLINK("https://lsnyc.legalserver.org/matter/dynamic-profile/view/1906036","19-1906036")</f>
        <v>0</v>
      </c>
      <c r="B1107" t="s">
        <v>108</v>
      </c>
      <c r="C1107" t="s">
        <v>207</v>
      </c>
      <c r="E1107" t="s">
        <v>1081</v>
      </c>
      <c r="F1107" t="s">
        <v>1937</v>
      </c>
      <c r="G1107" t="s">
        <v>2932</v>
      </c>
      <c r="I1107" t="s">
        <v>3480</v>
      </c>
      <c r="J1107">
        <v>11435</v>
      </c>
      <c r="K1107" t="s">
        <v>3522</v>
      </c>
      <c r="L1107" t="s">
        <v>3525</v>
      </c>
      <c r="M1107" t="s">
        <v>3990</v>
      </c>
      <c r="N1107" t="s">
        <v>4108</v>
      </c>
      <c r="O1107" t="s">
        <v>4134</v>
      </c>
      <c r="Q1107" t="s">
        <v>4147</v>
      </c>
      <c r="R1107" t="s">
        <v>3523</v>
      </c>
      <c r="T1107" t="s">
        <v>4156</v>
      </c>
      <c r="U1107" t="s">
        <v>4168</v>
      </c>
      <c r="V1107" t="s">
        <v>207</v>
      </c>
      <c r="W1107">
        <v>2010</v>
      </c>
      <c r="X1107" t="s">
        <v>4192</v>
      </c>
      <c r="Y1107" t="s">
        <v>4205</v>
      </c>
      <c r="Z1107" t="s">
        <v>5161</v>
      </c>
      <c r="AB1107" t="s">
        <v>6489</v>
      </c>
      <c r="AC1107">
        <v>2</v>
      </c>
      <c r="AD1107" t="s">
        <v>6771</v>
      </c>
      <c r="AE1107" t="s">
        <v>3526</v>
      </c>
      <c r="AF1107">
        <v>-1</v>
      </c>
      <c r="AG1107">
        <v>2</v>
      </c>
      <c r="AH1107">
        <v>3</v>
      </c>
      <c r="AI1107">
        <v>178.99</v>
      </c>
      <c r="AL1107" t="s">
        <v>6801</v>
      </c>
      <c r="AM1107">
        <v>54000</v>
      </c>
      <c r="AP1107" t="s">
        <v>4200</v>
      </c>
    </row>
    <row r="1108" spans="1:42">
      <c r="A1108" s="1">
        <f>HYPERLINK("https://lsnyc.legalserver.org/matter/dynamic-profile/view/1910272","19-1910272")</f>
        <v>0</v>
      </c>
      <c r="B1108" t="s">
        <v>108</v>
      </c>
      <c r="C1108" t="s">
        <v>360</v>
      </c>
      <c r="E1108" t="s">
        <v>1081</v>
      </c>
      <c r="F1108" t="s">
        <v>1937</v>
      </c>
      <c r="G1108" t="s">
        <v>2932</v>
      </c>
      <c r="I1108" t="s">
        <v>3480</v>
      </c>
      <c r="J1108">
        <v>11435</v>
      </c>
      <c r="K1108" t="s">
        <v>3522</v>
      </c>
      <c r="L1108" t="s">
        <v>3525</v>
      </c>
      <c r="M1108" t="s">
        <v>3991</v>
      </c>
      <c r="N1108" t="s">
        <v>4109</v>
      </c>
      <c r="O1108" t="s">
        <v>4134</v>
      </c>
      <c r="Q1108" t="s">
        <v>4147</v>
      </c>
      <c r="R1108" t="s">
        <v>3523</v>
      </c>
      <c r="T1108" t="s">
        <v>4156</v>
      </c>
      <c r="U1108" t="s">
        <v>4168</v>
      </c>
      <c r="V1108" t="s">
        <v>360</v>
      </c>
      <c r="W1108">
        <v>2010</v>
      </c>
      <c r="X1108" t="s">
        <v>4192</v>
      </c>
      <c r="Y1108" t="s">
        <v>4211</v>
      </c>
      <c r="Z1108" t="s">
        <v>5161</v>
      </c>
      <c r="AB1108" t="s">
        <v>6489</v>
      </c>
      <c r="AC1108">
        <v>2</v>
      </c>
      <c r="AD1108" t="s">
        <v>6771</v>
      </c>
      <c r="AE1108" t="s">
        <v>3526</v>
      </c>
      <c r="AF1108">
        <v>-1</v>
      </c>
      <c r="AG1108">
        <v>2</v>
      </c>
      <c r="AH1108">
        <v>3</v>
      </c>
      <c r="AI1108">
        <v>178.99</v>
      </c>
      <c r="AL1108" t="s">
        <v>6801</v>
      </c>
      <c r="AM1108">
        <v>54000</v>
      </c>
      <c r="AP1108" t="s">
        <v>4200</v>
      </c>
    </row>
    <row r="1109" spans="1:42">
      <c r="A1109" s="1">
        <f>HYPERLINK("https://lsnyc.legalserver.org/matter/dynamic-profile/view/1910273","19-1910273")</f>
        <v>0</v>
      </c>
      <c r="B1109" t="s">
        <v>108</v>
      </c>
      <c r="C1109" t="s">
        <v>360</v>
      </c>
      <c r="E1109" t="s">
        <v>1081</v>
      </c>
      <c r="F1109" t="s">
        <v>1937</v>
      </c>
      <c r="G1109" t="s">
        <v>2932</v>
      </c>
      <c r="I1109" t="s">
        <v>3480</v>
      </c>
      <c r="J1109">
        <v>11435</v>
      </c>
      <c r="K1109" t="s">
        <v>3522</v>
      </c>
      <c r="L1109" t="s">
        <v>3525</v>
      </c>
      <c r="N1109" t="s">
        <v>4113</v>
      </c>
      <c r="O1109" t="s">
        <v>4135</v>
      </c>
      <c r="Q1109" t="s">
        <v>4147</v>
      </c>
      <c r="R1109" t="s">
        <v>3523</v>
      </c>
      <c r="T1109" t="s">
        <v>4156</v>
      </c>
      <c r="U1109" t="s">
        <v>4168</v>
      </c>
      <c r="V1109" t="s">
        <v>360</v>
      </c>
      <c r="W1109">
        <v>2010</v>
      </c>
      <c r="X1109" t="s">
        <v>4192</v>
      </c>
      <c r="Y1109" t="s">
        <v>4211</v>
      </c>
      <c r="Z1109" t="s">
        <v>5161</v>
      </c>
      <c r="AB1109" t="s">
        <v>6489</v>
      </c>
      <c r="AC1109">
        <v>2</v>
      </c>
      <c r="AD1109" t="s">
        <v>6771</v>
      </c>
      <c r="AE1109" t="s">
        <v>3526</v>
      </c>
      <c r="AF1109">
        <v>-1</v>
      </c>
      <c r="AG1109">
        <v>2</v>
      </c>
      <c r="AH1109">
        <v>3</v>
      </c>
      <c r="AI1109">
        <v>178.99</v>
      </c>
      <c r="AL1109" t="s">
        <v>6801</v>
      </c>
      <c r="AM1109">
        <v>54000</v>
      </c>
    </row>
    <row r="1110" spans="1:42">
      <c r="A1110" s="1">
        <f>HYPERLINK("https://lsnyc.legalserver.org/matter/dynamic-profile/view/1904814","19-1904814")</f>
        <v>0</v>
      </c>
      <c r="B1110" t="s">
        <v>103</v>
      </c>
      <c r="C1110" t="s">
        <v>296</v>
      </c>
      <c r="D1110" t="s">
        <v>283</v>
      </c>
      <c r="E1110" t="s">
        <v>441</v>
      </c>
      <c r="F1110" t="s">
        <v>1938</v>
      </c>
      <c r="G1110" t="s">
        <v>2399</v>
      </c>
      <c r="H1110" t="s">
        <v>3408</v>
      </c>
      <c r="I1110" t="s">
        <v>3493</v>
      </c>
      <c r="J1110">
        <v>10452</v>
      </c>
      <c r="K1110" t="s">
        <v>3522</v>
      </c>
      <c r="L1110" t="s">
        <v>3525</v>
      </c>
      <c r="M1110" t="s">
        <v>3562</v>
      </c>
      <c r="O1110" t="s">
        <v>4132</v>
      </c>
      <c r="P1110" t="s">
        <v>4139</v>
      </c>
      <c r="Q1110" t="s">
        <v>4147</v>
      </c>
      <c r="T1110" t="s">
        <v>4156</v>
      </c>
      <c r="V1110" t="s">
        <v>241</v>
      </c>
      <c r="W1110">
        <v>1350</v>
      </c>
      <c r="X1110" t="s">
        <v>4194</v>
      </c>
      <c r="Z1110" t="s">
        <v>5162</v>
      </c>
      <c r="AB1110" t="s">
        <v>6490</v>
      </c>
      <c r="AC1110">
        <v>139</v>
      </c>
      <c r="AF1110">
        <v>12</v>
      </c>
      <c r="AG1110">
        <v>2</v>
      </c>
      <c r="AH1110">
        <v>0</v>
      </c>
      <c r="AI1110">
        <v>179.49</v>
      </c>
      <c r="AL1110" t="s">
        <v>6801</v>
      </c>
      <c r="AM1110">
        <v>30352</v>
      </c>
    </row>
    <row r="1111" spans="1:42">
      <c r="A1111" s="1">
        <f>HYPERLINK("https://lsnyc.legalserver.org/matter/dynamic-profile/view/1910406","19-1910406")</f>
        <v>0</v>
      </c>
      <c r="B1111" t="s">
        <v>88</v>
      </c>
      <c r="C1111" t="s">
        <v>214</v>
      </c>
      <c r="D1111" t="s">
        <v>248</v>
      </c>
      <c r="E1111" t="s">
        <v>564</v>
      </c>
      <c r="F1111" t="s">
        <v>1431</v>
      </c>
      <c r="G1111" t="s">
        <v>2349</v>
      </c>
      <c r="I1111" t="s">
        <v>3495</v>
      </c>
      <c r="J1111">
        <v>10033</v>
      </c>
      <c r="K1111" t="s">
        <v>3522</v>
      </c>
      <c r="L1111" t="s">
        <v>3525</v>
      </c>
      <c r="N1111" t="s">
        <v>4116</v>
      </c>
      <c r="O1111" t="s">
        <v>4135</v>
      </c>
      <c r="P1111" t="s">
        <v>4142</v>
      </c>
      <c r="Q1111" t="s">
        <v>4147</v>
      </c>
      <c r="R1111" t="s">
        <v>3523</v>
      </c>
      <c r="T1111" t="s">
        <v>4156</v>
      </c>
      <c r="V1111" t="s">
        <v>214</v>
      </c>
      <c r="W1111">
        <v>811.77</v>
      </c>
      <c r="X1111" t="s">
        <v>4196</v>
      </c>
      <c r="Y1111" t="s">
        <v>4201</v>
      </c>
      <c r="Z1111" t="s">
        <v>4410</v>
      </c>
      <c r="AB1111" t="s">
        <v>5809</v>
      </c>
      <c r="AC1111">
        <v>24</v>
      </c>
      <c r="AD1111" t="s">
        <v>6772</v>
      </c>
      <c r="AE1111" t="s">
        <v>6791</v>
      </c>
      <c r="AF1111">
        <v>45</v>
      </c>
      <c r="AG1111">
        <v>2</v>
      </c>
      <c r="AH1111">
        <v>0</v>
      </c>
      <c r="AI1111">
        <v>179.82</v>
      </c>
      <c r="AL1111" t="s">
        <v>6802</v>
      </c>
      <c r="AM1111">
        <v>30408</v>
      </c>
    </row>
    <row r="1112" spans="1:42">
      <c r="A1112" s="1">
        <f>HYPERLINK("https://lsnyc.legalserver.org/matter/dynamic-profile/view/1912884","19-1912884")</f>
        <v>0</v>
      </c>
      <c r="B1112" t="s">
        <v>73</v>
      </c>
      <c r="C1112" t="s">
        <v>253</v>
      </c>
      <c r="D1112" t="s">
        <v>237</v>
      </c>
      <c r="E1112" t="s">
        <v>1082</v>
      </c>
      <c r="F1112" t="s">
        <v>1214</v>
      </c>
      <c r="G1112" t="s">
        <v>2933</v>
      </c>
      <c r="H1112" t="s">
        <v>3409</v>
      </c>
      <c r="I1112" t="s">
        <v>3493</v>
      </c>
      <c r="J1112">
        <v>10452</v>
      </c>
      <c r="K1112" t="s">
        <v>3522</v>
      </c>
      <c r="L1112" t="s">
        <v>3525</v>
      </c>
      <c r="N1112" t="s">
        <v>4110</v>
      </c>
      <c r="O1112" t="s">
        <v>4135</v>
      </c>
      <c r="P1112" t="s">
        <v>4142</v>
      </c>
      <c r="Q1112" t="s">
        <v>4147</v>
      </c>
      <c r="R1112" t="s">
        <v>3523</v>
      </c>
      <c r="T1112" t="s">
        <v>4156</v>
      </c>
      <c r="V1112" t="s">
        <v>253</v>
      </c>
      <c r="W1112">
        <v>895.65</v>
      </c>
      <c r="X1112" t="s">
        <v>4194</v>
      </c>
      <c r="Y1112" t="s">
        <v>4206</v>
      </c>
      <c r="Z1112" t="s">
        <v>5163</v>
      </c>
      <c r="AB1112" t="s">
        <v>6491</v>
      </c>
      <c r="AC1112">
        <v>61</v>
      </c>
      <c r="AD1112" t="s">
        <v>6772</v>
      </c>
      <c r="AE1112" t="s">
        <v>3526</v>
      </c>
      <c r="AF1112">
        <v>30</v>
      </c>
      <c r="AG1112">
        <v>1</v>
      </c>
      <c r="AH1112">
        <v>0</v>
      </c>
      <c r="AI1112">
        <v>180.05</v>
      </c>
      <c r="AL1112" t="s">
        <v>6802</v>
      </c>
      <c r="AM1112">
        <v>22488</v>
      </c>
    </row>
    <row r="1113" spans="1:42">
      <c r="A1113" s="1">
        <f>HYPERLINK("https://lsnyc.legalserver.org/matter/dynamic-profile/view/1913025","19-1913025")</f>
        <v>0</v>
      </c>
      <c r="B1113" t="s">
        <v>73</v>
      </c>
      <c r="C1113" t="s">
        <v>314</v>
      </c>
      <c r="D1113" t="s">
        <v>237</v>
      </c>
      <c r="E1113" t="s">
        <v>1082</v>
      </c>
      <c r="F1113" t="s">
        <v>1214</v>
      </c>
      <c r="G1113" t="s">
        <v>2933</v>
      </c>
      <c r="H1113" t="s">
        <v>3409</v>
      </c>
      <c r="I1113" t="s">
        <v>3493</v>
      </c>
      <c r="J1113">
        <v>10452</v>
      </c>
      <c r="K1113" t="s">
        <v>3522</v>
      </c>
      <c r="L1113" t="s">
        <v>3525</v>
      </c>
      <c r="N1113" t="s">
        <v>4116</v>
      </c>
      <c r="O1113" t="s">
        <v>4135</v>
      </c>
      <c r="P1113" t="s">
        <v>4142</v>
      </c>
      <c r="Q1113" t="s">
        <v>4147</v>
      </c>
      <c r="R1113" t="s">
        <v>3523</v>
      </c>
      <c r="T1113" t="s">
        <v>4156</v>
      </c>
      <c r="V1113" t="s">
        <v>192</v>
      </c>
      <c r="W1113">
        <v>895.65</v>
      </c>
      <c r="X1113" t="s">
        <v>4194</v>
      </c>
      <c r="Y1113" t="s">
        <v>4206</v>
      </c>
      <c r="Z1113" t="s">
        <v>5163</v>
      </c>
      <c r="AB1113" t="s">
        <v>6491</v>
      </c>
      <c r="AC1113">
        <v>61</v>
      </c>
      <c r="AD1113" t="s">
        <v>6772</v>
      </c>
      <c r="AE1113" t="s">
        <v>3526</v>
      </c>
      <c r="AF1113">
        <v>30</v>
      </c>
      <c r="AG1113">
        <v>1</v>
      </c>
      <c r="AH1113">
        <v>0</v>
      </c>
      <c r="AI1113">
        <v>180.05</v>
      </c>
      <c r="AL1113" t="s">
        <v>6802</v>
      </c>
      <c r="AM1113">
        <v>22488</v>
      </c>
    </row>
    <row r="1114" spans="1:42">
      <c r="A1114" s="1">
        <f>HYPERLINK("https://lsnyc.legalserver.org/matter/dynamic-profile/view/1915744","19-1915744")</f>
        <v>0</v>
      </c>
      <c r="B1114" t="s">
        <v>91</v>
      </c>
      <c r="C1114" t="s">
        <v>248</v>
      </c>
      <c r="D1114" t="s">
        <v>242</v>
      </c>
      <c r="E1114" t="s">
        <v>1083</v>
      </c>
      <c r="F1114" t="s">
        <v>1939</v>
      </c>
      <c r="G1114" t="s">
        <v>2250</v>
      </c>
      <c r="H1114" t="s">
        <v>3155</v>
      </c>
      <c r="I1114" t="s">
        <v>3495</v>
      </c>
      <c r="J1114">
        <v>10035</v>
      </c>
      <c r="K1114" t="s">
        <v>3522</v>
      </c>
      <c r="L1114" t="s">
        <v>3525</v>
      </c>
      <c r="N1114" t="s">
        <v>3554</v>
      </c>
      <c r="O1114" t="s">
        <v>4135</v>
      </c>
      <c r="P1114" t="s">
        <v>4142</v>
      </c>
      <c r="Q1114" t="s">
        <v>4147</v>
      </c>
      <c r="R1114" t="s">
        <v>3522</v>
      </c>
      <c r="T1114" t="s">
        <v>4156</v>
      </c>
      <c r="U1114" t="s">
        <v>4168</v>
      </c>
      <c r="V1114" t="s">
        <v>248</v>
      </c>
      <c r="W1114">
        <v>2400</v>
      </c>
      <c r="X1114" t="s">
        <v>4196</v>
      </c>
      <c r="Y1114" t="s">
        <v>4198</v>
      </c>
      <c r="Z1114" t="s">
        <v>5164</v>
      </c>
      <c r="AB1114" t="s">
        <v>6492</v>
      </c>
      <c r="AC1114">
        <v>30</v>
      </c>
      <c r="AD1114" t="s">
        <v>6772</v>
      </c>
      <c r="AE1114" t="s">
        <v>3526</v>
      </c>
      <c r="AF1114">
        <v>1</v>
      </c>
      <c r="AG1114">
        <v>1</v>
      </c>
      <c r="AH1114">
        <v>0</v>
      </c>
      <c r="AI1114">
        <v>180.14</v>
      </c>
      <c r="AL1114" t="s">
        <v>6801</v>
      </c>
      <c r="AM1114">
        <v>22500</v>
      </c>
    </row>
    <row r="1115" spans="1:42">
      <c r="A1115" s="1">
        <f>HYPERLINK("https://lsnyc.legalserver.org/matter/dynamic-profile/view/1915753","19-1915753")</f>
        <v>0</v>
      </c>
      <c r="B1115" t="s">
        <v>91</v>
      </c>
      <c r="C1115" t="s">
        <v>248</v>
      </c>
      <c r="E1115" t="s">
        <v>1083</v>
      </c>
      <c r="F1115" t="s">
        <v>1939</v>
      </c>
      <c r="G1115" t="s">
        <v>2250</v>
      </c>
      <c r="H1115" t="s">
        <v>3155</v>
      </c>
      <c r="I1115" t="s">
        <v>3495</v>
      </c>
      <c r="J1115">
        <v>10035</v>
      </c>
      <c r="K1115" t="s">
        <v>3522</v>
      </c>
      <c r="L1115" t="s">
        <v>3525</v>
      </c>
      <c r="N1115" t="s">
        <v>3554</v>
      </c>
      <c r="O1115" t="s">
        <v>4135</v>
      </c>
      <c r="Q1115" t="s">
        <v>4147</v>
      </c>
      <c r="R1115" t="s">
        <v>3522</v>
      </c>
      <c r="T1115" t="s">
        <v>4156</v>
      </c>
      <c r="U1115" t="s">
        <v>4168</v>
      </c>
      <c r="V1115" t="s">
        <v>248</v>
      </c>
      <c r="W1115">
        <v>2400</v>
      </c>
      <c r="X1115" t="s">
        <v>4196</v>
      </c>
      <c r="Y1115" t="s">
        <v>4201</v>
      </c>
      <c r="Z1115" t="s">
        <v>5164</v>
      </c>
      <c r="AB1115" t="s">
        <v>6492</v>
      </c>
      <c r="AC1115">
        <v>30</v>
      </c>
      <c r="AD1115" t="s">
        <v>6772</v>
      </c>
      <c r="AE1115" t="s">
        <v>3526</v>
      </c>
      <c r="AF1115">
        <v>1</v>
      </c>
      <c r="AG1115">
        <v>1</v>
      </c>
      <c r="AH1115">
        <v>0</v>
      </c>
      <c r="AI1115">
        <v>180.14</v>
      </c>
      <c r="AL1115" t="s">
        <v>6801</v>
      </c>
      <c r="AM1115">
        <v>22500</v>
      </c>
    </row>
    <row r="1116" spans="1:42">
      <c r="A1116" s="1">
        <f>HYPERLINK("https://lsnyc.legalserver.org/matter/dynamic-profile/view/1905901","19-1905901")</f>
        <v>0</v>
      </c>
      <c r="B1116" t="s">
        <v>78</v>
      </c>
      <c r="C1116" t="s">
        <v>228</v>
      </c>
      <c r="D1116" t="s">
        <v>194</v>
      </c>
      <c r="E1116" t="s">
        <v>1084</v>
      </c>
      <c r="F1116" t="s">
        <v>1940</v>
      </c>
      <c r="G1116" t="s">
        <v>2934</v>
      </c>
      <c r="H1116">
        <v>2</v>
      </c>
      <c r="I1116" t="s">
        <v>3493</v>
      </c>
      <c r="J1116">
        <v>10456</v>
      </c>
      <c r="K1116" t="s">
        <v>3522</v>
      </c>
      <c r="L1116" t="s">
        <v>3525</v>
      </c>
      <c r="N1116" t="s">
        <v>3554</v>
      </c>
      <c r="O1116" t="s">
        <v>4132</v>
      </c>
      <c r="P1116" t="s">
        <v>4139</v>
      </c>
      <c r="Q1116" t="s">
        <v>4147</v>
      </c>
      <c r="R1116" t="s">
        <v>3523</v>
      </c>
      <c r="T1116" t="s">
        <v>4156</v>
      </c>
      <c r="V1116" t="s">
        <v>251</v>
      </c>
      <c r="W1116">
        <v>1800.2</v>
      </c>
      <c r="X1116" t="s">
        <v>4194</v>
      </c>
      <c r="Y1116" t="s">
        <v>4206</v>
      </c>
      <c r="Z1116" t="s">
        <v>5165</v>
      </c>
      <c r="AC1116">
        <v>6</v>
      </c>
      <c r="AD1116" t="s">
        <v>6772</v>
      </c>
      <c r="AE1116" t="s">
        <v>6787</v>
      </c>
      <c r="AF1116">
        <v>1</v>
      </c>
      <c r="AG1116">
        <v>2</v>
      </c>
      <c r="AH1116">
        <v>1</v>
      </c>
      <c r="AI1116">
        <v>180.23</v>
      </c>
      <c r="AL1116" t="s">
        <v>6801</v>
      </c>
      <c r="AM1116">
        <v>38444</v>
      </c>
    </row>
    <row r="1117" spans="1:42">
      <c r="A1117" s="1">
        <f>HYPERLINK("https://lsnyc.legalserver.org/matter/dynamic-profile/view/1914156","19-1914156")</f>
        <v>0</v>
      </c>
      <c r="B1117" t="s">
        <v>91</v>
      </c>
      <c r="C1117" t="s">
        <v>191</v>
      </c>
      <c r="E1117" t="s">
        <v>546</v>
      </c>
      <c r="F1117" t="s">
        <v>1941</v>
      </c>
      <c r="G1117" t="s">
        <v>2612</v>
      </c>
      <c r="H1117" t="s">
        <v>3410</v>
      </c>
      <c r="I1117" t="s">
        <v>3495</v>
      </c>
      <c r="J1117">
        <v>10037</v>
      </c>
      <c r="K1117" t="s">
        <v>3522</v>
      </c>
      <c r="L1117" t="s">
        <v>3525</v>
      </c>
      <c r="N1117" t="s">
        <v>4108</v>
      </c>
      <c r="O1117" t="s">
        <v>4136</v>
      </c>
      <c r="Q1117" t="s">
        <v>4147</v>
      </c>
      <c r="R1117" t="s">
        <v>3522</v>
      </c>
      <c r="T1117" t="s">
        <v>4156</v>
      </c>
      <c r="U1117" t="s">
        <v>4168</v>
      </c>
      <c r="V1117" t="s">
        <v>199</v>
      </c>
      <c r="W1117">
        <v>1691</v>
      </c>
      <c r="X1117" t="s">
        <v>4196</v>
      </c>
      <c r="Y1117" t="s">
        <v>4198</v>
      </c>
      <c r="Z1117" t="s">
        <v>5166</v>
      </c>
      <c r="AB1117" t="s">
        <v>6493</v>
      </c>
      <c r="AC1117">
        <v>259</v>
      </c>
      <c r="AD1117" t="s">
        <v>6772</v>
      </c>
      <c r="AE1117" t="s">
        <v>3526</v>
      </c>
      <c r="AF1117">
        <v>2</v>
      </c>
      <c r="AG1117">
        <v>1</v>
      </c>
      <c r="AH1117">
        <v>0</v>
      </c>
      <c r="AI1117">
        <v>180.27</v>
      </c>
      <c r="AL1117" t="s">
        <v>6801</v>
      </c>
      <c r="AM1117">
        <v>22516</v>
      </c>
    </row>
    <row r="1118" spans="1:42">
      <c r="A1118" s="1">
        <f>HYPERLINK("https://lsnyc.legalserver.org/matter/dynamic-profile/view/1915136","19-1915136")</f>
        <v>0</v>
      </c>
      <c r="B1118" t="s">
        <v>69</v>
      </c>
      <c r="C1118" t="s">
        <v>182</v>
      </c>
      <c r="E1118" t="s">
        <v>1085</v>
      </c>
      <c r="F1118" t="s">
        <v>1336</v>
      </c>
      <c r="G1118" t="s">
        <v>2935</v>
      </c>
      <c r="H1118" t="s">
        <v>3179</v>
      </c>
      <c r="I1118" t="s">
        <v>3490</v>
      </c>
      <c r="J1118">
        <v>11207</v>
      </c>
      <c r="K1118" t="s">
        <v>3522</v>
      </c>
      <c r="L1118" t="s">
        <v>3525</v>
      </c>
      <c r="M1118" t="s">
        <v>3992</v>
      </c>
      <c r="N1118" t="s">
        <v>4109</v>
      </c>
      <c r="O1118" t="s">
        <v>4132</v>
      </c>
      <c r="Q1118" t="s">
        <v>4147</v>
      </c>
      <c r="R1118" t="s">
        <v>3523</v>
      </c>
      <c r="T1118" t="s">
        <v>4156</v>
      </c>
      <c r="V1118" t="s">
        <v>219</v>
      </c>
      <c r="W1118">
        <v>1386</v>
      </c>
      <c r="X1118" t="s">
        <v>4193</v>
      </c>
      <c r="Y1118" t="s">
        <v>4197</v>
      </c>
      <c r="Z1118" t="s">
        <v>4423</v>
      </c>
      <c r="AA1118" t="s">
        <v>3526</v>
      </c>
      <c r="AB1118" t="s">
        <v>6494</v>
      </c>
      <c r="AC1118">
        <v>21</v>
      </c>
      <c r="AD1118" t="s">
        <v>6772</v>
      </c>
      <c r="AE1118" t="s">
        <v>3526</v>
      </c>
      <c r="AF1118">
        <v>10</v>
      </c>
      <c r="AG1118">
        <v>2</v>
      </c>
      <c r="AH1118">
        <v>2</v>
      </c>
      <c r="AI1118">
        <v>180.97</v>
      </c>
      <c r="AL1118" t="s">
        <v>6801</v>
      </c>
      <c r="AM1118">
        <v>46600</v>
      </c>
    </row>
    <row r="1119" spans="1:42">
      <c r="A1119" s="1">
        <f>HYPERLINK("https://lsnyc.legalserver.org/matter/dynamic-profile/view/1910350","19-1910350")</f>
        <v>0</v>
      </c>
      <c r="B1119" t="s">
        <v>70</v>
      </c>
      <c r="C1119" t="s">
        <v>233</v>
      </c>
      <c r="E1119" t="s">
        <v>1086</v>
      </c>
      <c r="F1119" t="s">
        <v>492</v>
      </c>
      <c r="G1119" t="s">
        <v>2415</v>
      </c>
      <c r="H1119" t="s">
        <v>3179</v>
      </c>
      <c r="I1119" t="s">
        <v>3490</v>
      </c>
      <c r="J1119">
        <v>11212</v>
      </c>
      <c r="K1119" t="s">
        <v>3522</v>
      </c>
      <c r="L1119" t="s">
        <v>3525</v>
      </c>
      <c r="M1119" t="s">
        <v>3529</v>
      </c>
      <c r="N1119" t="s">
        <v>4112</v>
      </c>
      <c r="O1119" t="s">
        <v>4135</v>
      </c>
      <c r="Q1119" t="s">
        <v>4147</v>
      </c>
      <c r="R1119" t="s">
        <v>3522</v>
      </c>
      <c r="T1119" t="s">
        <v>4156</v>
      </c>
      <c r="U1119" t="s">
        <v>4168</v>
      </c>
      <c r="V1119" t="s">
        <v>210</v>
      </c>
      <c r="W1119">
        <v>1400</v>
      </c>
      <c r="X1119" t="s">
        <v>4193</v>
      </c>
      <c r="Y1119" t="s">
        <v>4201</v>
      </c>
      <c r="Z1119" t="s">
        <v>5167</v>
      </c>
      <c r="AA1119" t="s">
        <v>3526</v>
      </c>
      <c r="AB1119" t="s">
        <v>6495</v>
      </c>
      <c r="AC1119">
        <v>4</v>
      </c>
      <c r="AD1119" t="s">
        <v>6772</v>
      </c>
      <c r="AE1119" t="s">
        <v>3526</v>
      </c>
      <c r="AF1119">
        <v>4</v>
      </c>
      <c r="AG1119">
        <v>1</v>
      </c>
      <c r="AH1119">
        <v>0</v>
      </c>
      <c r="AI1119">
        <v>181.49</v>
      </c>
      <c r="AL1119" t="s">
        <v>6801</v>
      </c>
      <c r="AM1119">
        <v>22668</v>
      </c>
    </row>
    <row r="1120" spans="1:42">
      <c r="A1120" s="1">
        <f>HYPERLINK("https://lsnyc.legalserver.org/matter/dynamic-profile/view/1900422","19-1900422")</f>
        <v>0</v>
      </c>
      <c r="B1120" t="s">
        <v>132</v>
      </c>
      <c r="C1120" t="s">
        <v>361</v>
      </c>
      <c r="E1120" t="s">
        <v>929</v>
      </c>
      <c r="F1120" t="s">
        <v>1942</v>
      </c>
      <c r="G1120" t="s">
        <v>2936</v>
      </c>
      <c r="I1120" t="s">
        <v>3495</v>
      </c>
      <c r="J1120">
        <v>10031</v>
      </c>
      <c r="K1120" t="s">
        <v>3522</v>
      </c>
      <c r="L1120" t="s">
        <v>3525</v>
      </c>
      <c r="M1120" t="s">
        <v>3993</v>
      </c>
      <c r="N1120" t="s">
        <v>4109</v>
      </c>
      <c r="O1120" t="s">
        <v>4134</v>
      </c>
      <c r="Q1120" t="s">
        <v>4147</v>
      </c>
      <c r="R1120" t="s">
        <v>3523</v>
      </c>
      <c r="T1120" t="s">
        <v>4156</v>
      </c>
      <c r="V1120" t="s">
        <v>4175</v>
      </c>
      <c r="W1120">
        <v>818.59</v>
      </c>
      <c r="X1120" t="s">
        <v>4196</v>
      </c>
      <c r="Y1120" t="s">
        <v>4203</v>
      </c>
      <c r="Z1120" t="s">
        <v>5168</v>
      </c>
      <c r="AB1120" t="s">
        <v>6496</v>
      </c>
      <c r="AC1120">
        <v>46</v>
      </c>
      <c r="AD1120" t="s">
        <v>6772</v>
      </c>
      <c r="AF1120">
        <v>40</v>
      </c>
      <c r="AG1120">
        <v>1</v>
      </c>
      <c r="AH1120">
        <v>0</v>
      </c>
      <c r="AI1120">
        <v>181.68</v>
      </c>
      <c r="AL1120" t="s">
        <v>6801</v>
      </c>
      <c r="AM1120">
        <v>22692</v>
      </c>
    </row>
    <row r="1121" spans="1:44">
      <c r="A1121" s="1">
        <f>HYPERLINK("https://lsnyc.legalserver.org/matter/dynamic-profile/view/1888046","19-1888046")</f>
        <v>0</v>
      </c>
      <c r="B1121" t="s">
        <v>61</v>
      </c>
      <c r="C1121" t="s">
        <v>353</v>
      </c>
      <c r="D1121" t="s">
        <v>247</v>
      </c>
      <c r="E1121" t="s">
        <v>1087</v>
      </c>
      <c r="F1121" t="s">
        <v>1943</v>
      </c>
      <c r="G1121" t="s">
        <v>2937</v>
      </c>
      <c r="H1121">
        <v>401</v>
      </c>
      <c r="I1121" t="s">
        <v>3490</v>
      </c>
      <c r="J1121">
        <v>11201</v>
      </c>
      <c r="K1121" t="s">
        <v>3522</v>
      </c>
      <c r="L1121" t="s">
        <v>3525</v>
      </c>
      <c r="M1121" t="s">
        <v>3554</v>
      </c>
      <c r="N1121" t="s">
        <v>3554</v>
      </c>
      <c r="O1121" t="s">
        <v>4135</v>
      </c>
      <c r="P1121" t="s">
        <v>4142</v>
      </c>
      <c r="Q1121" t="s">
        <v>4147</v>
      </c>
      <c r="R1121" t="s">
        <v>3523</v>
      </c>
      <c r="S1121" t="s">
        <v>4154</v>
      </c>
      <c r="T1121" t="s">
        <v>4156</v>
      </c>
      <c r="V1121" t="s">
        <v>336</v>
      </c>
      <c r="W1121">
        <v>1096</v>
      </c>
      <c r="X1121" t="s">
        <v>4193</v>
      </c>
      <c r="Y1121" t="s">
        <v>4211</v>
      </c>
      <c r="Z1121" t="s">
        <v>5169</v>
      </c>
      <c r="AA1121" t="s">
        <v>3526</v>
      </c>
      <c r="AB1121" t="s">
        <v>6497</v>
      </c>
      <c r="AC1121">
        <v>156</v>
      </c>
      <c r="AD1121" t="s">
        <v>5524</v>
      </c>
      <c r="AE1121" t="s">
        <v>3526</v>
      </c>
      <c r="AF1121">
        <v>11</v>
      </c>
      <c r="AG1121">
        <v>2</v>
      </c>
      <c r="AH1121">
        <v>0</v>
      </c>
      <c r="AI1121">
        <v>182.26</v>
      </c>
      <c r="AL1121" t="s">
        <v>6801</v>
      </c>
      <c r="AM1121">
        <v>30000</v>
      </c>
    </row>
    <row r="1122" spans="1:44">
      <c r="A1122" s="1">
        <f>HYPERLINK("https://lsnyc.legalserver.org/matter/dynamic-profile/view/1904033","19-1904033")</f>
        <v>0</v>
      </c>
      <c r="B1122" t="s">
        <v>60</v>
      </c>
      <c r="C1122" t="s">
        <v>183</v>
      </c>
      <c r="E1122" t="s">
        <v>552</v>
      </c>
      <c r="F1122" t="s">
        <v>1944</v>
      </c>
      <c r="G1122" t="s">
        <v>2938</v>
      </c>
      <c r="H1122" t="s">
        <v>3220</v>
      </c>
      <c r="I1122" t="s">
        <v>3490</v>
      </c>
      <c r="J1122">
        <v>11233</v>
      </c>
      <c r="K1122" t="s">
        <v>3522</v>
      </c>
      <c r="L1122" t="s">
        <v>3525</v>
      </c>
      <c r="M1122" t="s">
        <v>3994</v>
      </c>
      <c r="N1122" t="s">
        <v>4109</v>
      </c>
      <c r="O1122" t="s">
        <v>4134</v>
      </c>
      <c r="Q1122" t="s">
        <v>4147</v>
      </c>
      <c r="R1122" t="s">
        <v>3523</v>
      </c>
      <c r="T1122" t="s">
        <v>4156</v>
      </c>
      <c r="U1122" t="s">
        <v>4168</v>
      </c>
      <c r="V1122" t="s">
        <v>312</v>
      </c>
      <c r="W1122">
        <v>900</v>
      </c>
      <c r="X1122" t="s">
        <v>4193</v>
      </c>
      <c r="Y1122" t="s">
        <v>4203</v>
      </c>
      <c r="Z1122" t="s">
        <v>5170</v>
      </c>
      <c r="AA1122" t="s">
        <v>3562</v>
      </c>
      <c r="AB1122" t="s">
        <v>6498</v>
      </c>
      <c r="AC1122">
        <v>97</v>
      </c>
      <c r="AD1122" t="s">
        <v>6778</v>
      </c>
      <c r="AE1122" t="s">
        <v>6789</v>
      </c>
      <c r="AF1122">
        <v>7</v>
      </c>
      <c r="AG1122">
        <v>3</v>
      </c>
      <c r="AH1122">
        <v>0</v>
      </c>
      <c r="AI1122">
        <v>182.33</v>
      </c>
      <c r="AL1122" t="s">
        <v>6801</v>
      </c>
      <c r="AM1122">
        <v>38892</v>
      </c>
    </row>
    <row r="1123" spans="1:44">
      <c r="A1123" s="1">
        <f>HYPERLINK("https://lsnyc.legalserver.org/matter/dynamic-profile/view/1913628","19-1913628")</f>
        <v>0</v>
      </c>
      <c r="B1123" t="s">
        <v>72</v>
      </c>
      <c r="C1123" t="s">
        <v>265</v>
      </c>
      <c r="E1123" t="s">
        <v>1088</v>
      </c>
      <c r="F1123" t="s">
        <v>1369</v>
      </c>
      <c r="G1123" t="s">
        <v>2304</v>
      </c>
      <c r="H1123" t="s">
        <v>3221</v>
      </c>
      <c r="I1123" t="s">
        <v>3490</v>
      </c>
      <c r="J1123">
        <v>11238</v>
      </c>
      <c r="K1123" t="s">
        <v>3522</v>
      </c>
      <c r="L1123" t="s">
        <v>3525</v>
      </c>
      <c r="N1123" t="s">
        <v>4110</v>
      </c>
      <c r="O1123" t="s">
        <v>4137</v>
      </c>
      <c r="Q1123" t="s">
        <v>4147</v>
      </c>
      <c r="R1123" t="s">
        <v>3522</v>
      </c>
      <c r="T1123" t="s">
        <v>4156</v>
      </c>
      <c r="U1123" t="s">
        <v>4168</v>
      </c>
      <c r="V1123" t="s">
        <v>4178</v>
      </c>
      <c r="W1123">
        <v>983.4400000000001</v>
      </c>
      <c r="X1123" t="s">
        <v>4193</v>
      </c>
      <c r="Y1123" t="s">
        <v>4200</v>
      </c>
      <c r="Z1123" t="s">
        <v>5171</v>
      </c>
      <c r="AA1123" t="s">
        <v>3526</v>
      </c>
      <c r="AB1123" t="s">
        <v>6499</v>
      </c>
      <c r="AC1123">
        <v>16</v>
      </c>
      <c r="AD1123" t="s">
        <v>6772</v>
      </c>
      <c r="AE1123" t="s">
        <v>3526</v>
      </c>
      <c r="AF1123">
        <v>13</v>
      </c>
      <c r="AG1123">
        <v>2</v>
      </c>
      <c r="AH1123">
        <v>2</v>
      </c>
      <c r="AI1123">
        <v>182.52</v>
      </c>
      <c r="AL1123" t="s">
        <v>6801</v>
      </c>
      <c r="AM1123">
        <v>47000</v>
      </c>
      <c r="AN1123" t="s">
        <v>6835</v>
      </c>
    </row>
    <row r="1124" spans="1:44">
      <c r="A1124" s="1">
        <f>HYPERLINK("https://lsnyc.legalserver.org/matter/dynamic-profile/view/1913622","19-1913622")</f>
        <v>0</v>
      </c>
      <c r="B1124" t="s">
        <v>72</v>
      </c>
      <c r="C1124" t="s">
        <v>265</v>
      </c>
      <c r="E1124" t="s">
        <v>1088</v>
      </c>
      <c r="F1124" t="s">
        <v>1369</v>
      </c>
      <c r="G1124" t="s">
        <v>2304</v>
      </c>
      <c r="H1124" t="s">
        <v>3221</v>
      </c>
      <c r="I1124" t="s">
        <v>3490</v>
      </c>
      <c r="J1124">
        <v>11238</v>
      </c>
      <c r="K1124" t="s">
        <v>3522</v>
      </c>
      <c r="L1124" t="s">
        <v>3525</v>
      </c>
      <c r="M1124" t="s">
        <v>3554</v>
      </c>
      <c r="N1124" t="s">
        <v>4112</v>
      </c>
      <c r="O1124" t="s">
        <v>4135</v>
      </c>
      <c r="Q1124" t="s">
        <v>4147</v>
      </c>
      <c r="R1124" t="s">
        <v>3522</v>
      </c>
      <c r="T1124" t="s">
        <v>4156</v>
      </c>
      <c r="U1124" t="s">
        <v>4168</v>
      </c>
      <c r="V1124" t="s">
        <v>265</v>
      </c>
      <c r="W1124">
        <v>983.4400000000001</v>
      </c>
      <c r="X1124" t="s">
        <v>4193</v>
      </c>
      <c r="Y1124" t="s">
        <v>4200</v>
      </c>
      <c r="Z1124" t="s">
        <v>5171</v>
      </c>
      <c r="AA1124" t="s">
        <v>3526</v>
      </c>
      <c r="AB1124" t="s">
        <v>6499</v>
      </c>
      <c r="AC1124">
        <v>16</v>
      </c>
      <c r="AD1124" t="s">
        <v>6772</v>
      </c>
      <c r="AE1124" t="s">
        <v>3526</v>
      </c>
      <c r="AF1124">
        <v>13</v>
      </c>
      <c r="AG1124">
        <v>2</v>
      </c>
      <c r="AH1124">
        <v>2</v>
      </c>
      <c r="AI1124">
        <v>182.52</v>
      </c>
      <c r="AL1124" t="s">
        <v>6801</v>
      </c>
      <c r="AM1124">
        <v>47000</v>
      </c>
      <c r="AN1124" t="s">
        <v>6867</v>
      </c>
    </row>
    <row r="1125" spans="1:44">
      <c r="A1125" s="1">
        <f>HYPERLINK("https://lsnyc.legalserver.org/matter/dynamic-profile/view/1906517","19-1906517")</f>
        <v>0</v>
      </c>
      <c r="B1125" t="s">
        <v>46</v>
      </c>
      <c r="C1125" t="s">
        <v>320</v>
      </c>
      <c r="E1125" t="s">
        <v>1089</v>
      </c>
      <c r="F1125" t="s">
        <v>1945</v>
      </c>
      <c r="G1125" t="s">
        <v>2339</v>
      </c>
      <c r="H1125" t="s">
        <v>3411</v>
      </c>
      <c r="I1125" t="s">
        <v>3501</v>
      </c>
      <c r="J1125">
        <v>11101</v>
      </c>
      <c r="K1125" t="s">
        <v>3522</v>
      </c>
      <c r="L1125" t="s">
        <v>3525</v>
      </c>
      <c r="M1125" t="s">
        <v>3995</v>
      </c>
      <c r="N1125" t="s">
        <v>4109</v>
      </c>
      <c r="O1125" t="s">
        <v>4134</v>
      </c>
      <c r="Q1125" t="s">
        <v>4147</v>
      </c>
      <c r="R1125" t="s">
        <v>3522</v>
      </c>
      <c r="T1125" t="s">
        <v>4156</v>
      </c>
      <c r="U1125" t="s">
        <v>4169</v>
      </c>
      <c r="V1125" t="s">
        <v>320</v>
      </c>
      <c r="W1125">
        <v>1558</v>
      </c>
      <c r="X1125" t="s">
        <v>4192</v>
      </c>
      <c r="Y1125" t="s">
        <v>4197</v>
      </c>
      <c r="Z1125" t="s">
        <v>5172</v>
      </c>
      <c r="AA1125" t="s">
        <v>5643</v>
      </c>
      <c r="AB1125" t="s">
        <v>6500</v>
      </c>
      <c r="AC1125">
        <v>900</v>
      </c>
      <c r="AD1125" t="s">
        <v>6772</v>
      </c>
      <c r="AE1125" t="s">
        <v>6790</v>
      </c>
      <c r="AF1125">
        <v>1</v>
      </c>
      <c r="AG1125">
        <v>1</v>
      </c>
      <c r="AH1125">
        <v>0</v>
      </c>
      <c r="AI1125">
        <v>182.55</v>
      </c>
      <c r="AL1125" t="s">
        <v>6801</v>
      </c>
      <c r="AM1125">
        <v>22800</v>
      </c>
      <c r="AP1125" t="s">
        <v>4200</v>
      </c>
      <c r="AQ1125" t="s">
        <v>6945</v>
      </c>
      <c r="AR1125" t="s">
        <v>6953</v>
      </c>
    </row>
    <row r="1126" spans="1:44">
      <c r="A1126" s="1">
        <f>HYPERLINK("https://lsnyc.legalserver.org/matter/dynamic-profile/view/1913986","19-1913986")</f>
        <v>0</v>
      </c>
      <c r="B1126" t="s">
        <v>52</v>
      </c>
      <c r="C1126" t="s">
        <v>263</v>
      </c>
      <c r="E1126" t="s">
        <v>1090</v>
      </c>
      <c r="F1126" t="s">
        <v>1946</v>
      </c>
      <c r="G1126" t="s">
        <v>2939</v>
      </c>
      <c r="H1126">
        <v>26</v>
      </c>
      <c r="I1126" t="s">
        <v>3490</v>
      </c>
      <c r="J1126">
        <v>11215</v>
      </c>
      <c r="K1126" t="s">
        <v>3522</v>
      </c>
      <c r="L1126" t="s">
        <v>3525</v>
      </c>
      <c r="M1126" t="s">
        <v>3996</v>
      </c>
      <c r="N1126" t="s">
        <v>4109</v>
      </c>
      <c r="O1126" t="s">
        <v>4134</v>
      </c>
      <c r="Q1126" t="s">
        <v>4147</v>
      </c>
      <c r="R1126" t="s">
        <v>3523</v>
      </c>
      <c r="T1126" t="s">
        <v>4156</v>
      </c>
      <c r="U1126" t="s">
        <v>4168</v>
      </c>
      <c r="V1126" t="s">
        <v>186</v>
      </c>
      <c r="W1126">
        <v>0</v>
      </c>
      <c r="X1126" t="s">
        <v>4193</v>
      </c>
      <c r="Y1126" t="s">
        <v>4201</v>
      </c>
      <c r="Z1126" t="s">
        <v>5173</v>
      </c>
      <c r="AB1126" t="s">
        <v>6501</v>
      </c>
      <c r="AC1126">
        <v>8</v>
      </c>
      <c r="AF1126">
        <v>0</v>
      </c>
      <c r="AG1126">
        <v>1</v>
      </c>
      <c r="AH1126">
        <v>2</v>
      </c>
      <c r="AI1126">
        <v>182.84</v>
      </c>
      <c r="AL1126" t="s">
        <v>6801</v>
      </c>
      <c r="AM1126">
        <v>39000</v>
      </c>
    </row>
    <row r="1127" spans="1:44">
      <c r="A1127" s="1">
        <f>HYPERLINK("https://lsnyc.legalserver.org/matter/dynamic-profile/view/1910509","19-1910509")</f>
        <v>0</v>
      </c>
      <c r="B1127" t="s">
        <v>52</v>
      </c>
      <c r="C1127" t="s">
        <v>214</v>
      </c>
      <c r="D1127" t="s">
        <v>243</v>
      </c>
      <c r="E1127" t="s">
        <v>1090</v>
      </c>
      <c r="F1127" t="s">
        <v>1946</v>
      </c>
      <c r="G1127" t="s">
        <v>2939</v>
      </c>
      <c r="H1127">
        <v>26</v>
      </c>
      <c r="I1127" t="s">
        <v>3490</v>
      </c>
      <c r="J1127">
        <v>11215</v>
      </c>
      <c r="K1127" t="s">
        <v>3522</v>
      </c>
      <c r="O1127" t="s">
        <v>4135</v>
      </c>
      <c r="P1127" t="s">
        <v>4142</v>
      </c>
      <c r="Q1127" t="s">
        <v>4147</v>
      </c>
      <c r="R1127" t="s">
        <v>3523</v>
      </c>
      <c r="T1127" t="s">
        <v>4156</v>
      </c>
      <c r="U1127" t="s">
        <v>4168</v>
      </c>
      <c r="V1127" t="s">
        <v>214</v>
      </c>
      <c r="W1127">
        <v>1380.54</v>
      </c>
      <c r="X1127" t="s">
        <v>4193</v>
      </c>
      <c r="Y1127" t="s">
        <v>4197</v>
      </c>
      <c r="Z1127" t="s">
        <v>5173</v>
      </c>
      <c r="AB1127" t="s">
        <v>6501</v>
      </c>
      <c r="AC1127">
        <v>26</v>
      </c>
      <c r="AD1127" t="s">
        <v>6772</v>
      </c>
      <c r="AE1127" t="s">
        <v>3526</v>
      </c>
      <c r="AF1127">
        <v>7</v>
      </c>
      <c r="AG1127">
        <v>1</v>
      </c>
      <c r="AH1127">
        <v>2</v>
      </c>
      <c r="AI1127">
        <v>182.84</v>
      </c>
      <c r="AL1127" t="s">
        <v>6801</v>
      </c>
      <c r="AM1127">
        <v>39000</v>
      </c>
    </row>
    <row r="1128" spans="1:44">
      <c r="A1128" s="1">
        <f>HYPERLINK("https://lsnyc.legalserver.org/matter/dynamic-profile/view/1914321","19-1914321")</f>
        <v>0</v>
      </c>
      <c r="B1128" t="s">
        <v>93</v>
      </c>
      <c r="C1128" t="s">
        <v>245</v>
      </c>
      <c r="D1128" t="s">
        <v>301</v>
      </c>
      <c r="E1128" t="s">
        <v>1091</v>
      </c>
      <c r="F1128" t="s">
        <v>1516</v>
      </c>
      <c r="G1128" t="s">
        <v>2940</v>
      </c>
      <c r="H1128" t="s">
        <v>3178</v>
      </c>
      <c r="I1128" t="s">
        <v>3495</v>
      </c>
      <c r="J1128">
        <v>10034</v>
      </c>
      <c r="K1128" t="s">
        <v>3522</v>
      </c>
      <c r="L1128" t="s">
        <v>3525</v>
      </c>
      <c r="M1128" t="s">
        <v>3997</v>
      </c>
      <c r="N1128" t="s">
        <v>4107</v>
      </c>
      <c r="O1128" t="s">
        <v>4132</v>
      </c>
      <c r="P1128" t="s">
        <v>4139</v>
      </c>
      <c r="Q1128" t="s">
        <v>4147</v>
      </c>
      <c r="R1128" t="s">
        <v>3523</v>
      </c>
      <c r="T1128" t="s">
        <v>4156</v>
      </c>
      <c r="V1128" t="s">
        <v>301</v>
      </c>
      <c r="W1128">
        <v>692.33</v>
      </c>
      <c r="X1128" t="s">
        <v>4196</v>
      </c>
      <c r="Y1128" t="s">
        <v>4205</v>
      </c>
      <c r="Z1128" t="s">
        <v>5174</v>
      </c>
      <c r="AC1128">
        <v>72</v>
      </c>
      <c r="AD1128" t="s">
        <v>6772</v>
      </c>
      <c r="AE1128" t="s">
        <v>3526</v>
      </c>
      <c r="AF1128">
        <v>27</v>
      </c>
      <c r="AG1128">
        <v>2</v>
      </c>
      <c r="AH1128">
        <v>0</v>
      </c>
      <c r="AI1128">
        <v>183.28</v>
      </c>
      <c r="AL1128" t="s">
        <v>6802</v>
      </c>
      <c r="AM1128">
        <v>30992</v>
      </c>
    </row>
    <row r="1129" spans="1:44">
      <c r="A1129" s="1">
        <f>HYPERLINK("https://lsnyc.legalserver.org/matter/dynamic-profile/view/1910219","19-1910219")</f>
        <v>0</v>
      </c>
      <c r="B1129" t="s">
        <v>84</v>
      </c>
      <c r="C1129" t="s">
        <v>214</v>
      </c>
      <c r="E1129" t="s">
        <v>423</v>
      </c>
      <c r="F1129" t="s">
        <v>1446</v>
      </c>
      <c r="G1129" t="s">
        <v>2941</v>
      </c>
      <c r="I1129" t="s">
        <v>3494</v>
      </c>
      <c r="J1129">
        <v>10304</v>
      </c>
      <c r="K1129" t="s">
        <v>3522</v>
      </c>
      <c r="L1129" t="s">
        <v>3525</v>
      </c>
      <c r="M1129" t="s">
        <v>3998</v>
      </c>
      <c r="N1129" t="s">
        <v>4109</v>
      </c>
      <c r="O1129" t="s">
        <v>4134</v>
      </c>
      <c r="Q1129" t="s">
        <v>4147</v>
      </c>
      <c r="R1129" t="s">
        <v>3523</v>
      </c>
      <c r="T1129" t="s">
        <v>4156</v>
      </c>
      <c r="V1129" t="s">
        <v>214</v>
      </c>
      <c r="W1129">
        <v>1700</v>
      </c>
      <c r="X1129" t="s">
        <v>4195</v>
      </c>
      <c r="Y1129" t="s">
        <v>4209</v>
      </c>
      <c r="Z1129" t="s">
        <v>5175</v>
      </c>
      <c r="AB1129" t="s">
        <v>6502</v>
      </c>
      <c r="AC1129">
        <v>2</v>
      </c>
      <c r="AD1129" t="s">
        <v>6771</v>
      </c>
      <c r="AE1129" t="s">
        <v>3526</v>
      </c>
      <c r="AF1129">
        <v>3</v>
      </c>
      <c r="AG1129">
        <v>2</v>
      </c>
      <c r="AH1129">
        <v>0</v>
      </c>
      <c r="AI1129">
        <v>183.44</v>
      </c>
      <c r="AL1129" t="s">
        <v>6801</v>
      </c>
      <c r="AM1129">
        <v>31020</v>
      </c>
    </row>
    <row r="1130" spans="1:44">
      <c r="A1130" s="1">
        <f>HYPERLINK("https://lsnyc.legalserver.org/matter/dynamic-profile/view/1916007","19-1916007")</f>
        <v>0</v>
      </c>
      <c r="B1130" t="s">
        <v>126</v>
      </c>
      <c r="C1130" t="s">
        <v>299</v>
      </c>
      <c r="E1130" t="s">
        <v>1092</v>
      </c>
      <c r="F1130" t="s">
        <v>1947</v>
      </c>
      <c r="G1130" t="s">
        <v>2942</v>
      </c>
      <c r="H1130" t="s">
        <v>3178</v>
      </c>
      <c r="I1130" t="s">
        <v>3493</v>
      </c>
      <c r="J1130">
        <v>10452</v>
      </c>
      <c r="K1130" t="s">
        <v>3522</v>
      </c>
      <c r="L1130" t="s">
        <v>3525</v>
      </c>
      <c r="N1130" t="s">
        <v>3554</v>
      </c>
      <c r="O1130" t="s">
        <v>4132</v>
      </c>
      <c r="Q1130" t="s">
        <v>4147</v>
      </c>
      <c r="R1130" t="s">
        <v>3523</v>
      </c>
      <c r="T1130" t="s">
        <v>4156</v>
      </c>
      <c r="V1130" t="s">
        <v>299</v>
      </c>
      <c r="W1130">
        <v>840</v>
      </c>
      <c r="X1130" t="s">
        <v>4194</v>
      </c>
      <c r="Z1130" t="s">
        <v>5176</v>
      </c>
      <c r="AB1130" t="s">
        <v>6503</v>
      </c>
      <c r="AC1130">
        <v>0</v>
      </c>
      <c r="AD1130" t="s">
        <v>6772</v>
      </c>
      <c r="AE1130" t="s">
        <v>3526</v>
      </c>
      <c r="AF1130">
        <v>39</v>
      </c>
      <c r="AG1130">
        <v>2</v>
      </c>
      <c r="AH1130">
        <v>1</v>
      </c>
      <c r="AI1130">
        <v>184.02</v>
      </c>
      <c r="AL1130" t="s">
        <v>6802</v>
      </c>
      <c r="AM1130">
        <v>39252</v>
      </c>
    </row>
    <row r="1131" spans="1:44">
      <c r="A1131" s="1">
        <f>HYPERLINK("https://lsnyc.legalserver.org/matter/dynamic-profile/view/1910195","19-1910195")</f>
        <v>0</v>
      </c>
      <c r="B1131" t="s">
        <v>146</v>
      </c>
      <c r="C1131" t="s">
        <v>318</v>
      </c>
      <c r="E1131" t="s">
        <v>1093</v>
      </c>
      <c r="F1131" t="s">
        <v>1948</v>
      </c>
      <c r="G1131" t="s">
        <v>2943</v>
      </c>
      <c r="H1131" t="s">
        <v>3412</v>
      </c>
      <c r="I1131" t="s">
        <v>3490</v>
      </c>
      <c r="J1131">
        <v>11223</v>
      </c>
      <c r="K1131" t="s">
        <v>3522</v>
      </c>
      <c r="N1131" t="s">
        <v>4112</v>
      </c>
      <c r="O1131" t="s">
        <v>4133</v>
      </c>
      <c r="Q1131" t="s">
        <v>4147</v>
      </c>
      <c r="T1131" t="s">
        <v>4156</v>
      </c>
      <c r="V1131" t="s">
        <v>230</v>
      </c>
      <c r="W1131">
        <v>0</v>
      </c>
      <c r="X1131" t="s">
        <v>4193</v>
      </c>
      <c r="Z1131" t="s">
        <v>5177</v>
      </c>
      <c r="AC1131">
        <v>0</v>
      </c>
      <c r="AF1131">
        <v>0</v>
      </c>
      <c r="AG1131">
        <v>1</v>
      </c>
      <c r="AH1131">
        <v>0</v>
      </c>
      <c r="AI1131">
        <v>184.15</v>
      </c>
      <c r="AL1131" t="s">
        <v>6811</v>
      </c>
      <c r="AM1131">
        <v>23000</v>
      </c>
    </row>
    <row r="1132" spans="1:44">
      <c r="A1132" s="1">
        <f>HYPERLINK("https://lsnyc.legalserver.org/matter/dynamic-profile/view/1907496","19-1907496")</f>
        <v>0</v>
      </c>
      <c r="B1132" t="s">
        <v>55</v>
      </c>
      <c r="C1132" t="s">
        <v>185</v>
      </c>
      <c r="E1132" t="s">
        <v>972</v>
      </c>
      <c r="F1132" t="s">
        <v>1949</v>
      </c>
      <c r="G1132" t="s">
        <v>2944</v>
      </c>
      <c r="H1132" t="s">
        <v>3263</v>
      </c>
      <c r="I1132" t="s">
        <v>3490</v>
      </c>
      <c r="J1132">
        <v>11212</v>
      </c>
      <c r="K1132" t="s">
        <v>3522</v>
      </c>
      <c r="L1132" t="s">
        <v>3525</v>
      </c>
      <c r="M1132" t="s">
        <v>3999</v>
      </c>
      <c r="N1132" t="s">
        <v>4109</v>
      </c>
      <c r="O1132" t="s">
        <v>4134</v>
      </c>
      <c r="Q1132" t="s">
        <v>4147</v>
      </c>
      <c r="R1132" t="s">
        <v>3523</v>
      </c>
      <c r="T1132" t="s">
        <v>4156</v>
      </c>
      <c r="U1132" t="s">
        <v>4168</v>
      </c>
      <c r="V1132" t="s">
        <v>304</v>
      </c>
      <c r="W1132">
        <v>800.29</v>
      </c>
      <c r="X1132" t="s">
        <v>4193</v>
      </c>
      <c r="Y1132" t="s">
        <v>4201</v>
      </c>
      <c r="Z1132" t="s">
        <v>5178</v>
      </c>
      <c r="AB1132" t="s">
        <v>6504</v>
      </c>
      <c r="AC1132">
        <v>48</v>
      </c>
      <c r="AD1132" t="s">
        <v>6772</v>
      </c>
      <c r="AE1132" t="s">
        <v>3526</v>
      </c>
      <c r="AF1132">
        <v>47</v>
      </c>
      <c r="AG1132">
        <v>1</v>
      </c>
      <c r="AH1132">
        <v>0</v>
      </c>
      <c r="AI1132">
        <v>184.15</v>
      </c>
      <c r="AL1132" t="s">
        <v>6801</v>
      </c>
      <c r="AM1132">
        <v>23000</v>
      </c>
    </row>
    <row r="1133" spans="1:44">
      <c r="A1133" s="1">
        <f>HYPERLINK("https://lsnyc.legalserver.org/matter/dynamic-profile/view/1912044","19-1912044")</f>
        <v>0</v>
      </c>
      <c r="B1133" t="s">
        <v>94</v>
      </c>
      <c r="C1133" t="s">
        <v>333</v>
      </c>
      <c r="E1133" t="s">
        <v>1094</v>
      </c>
      <c r="F1133" t="s">
        <v>1950</v>
      </c>
      <c r="G1133" t="s">
        <v>2249</v>
      </c>
      <c r="H1133" t="s">
        <v>3213</v>
      </c>
      <c r="I1133" t="s">
        <v>3495</v>
      </c>
      <c r="J1133">
        <v>10037</v>
      </c>
      <c r="K1133" t="s">
        <v>3522</v>
      </c>
      <c r="L1133" t="s">
        <v>3525</v>
      </c>
      <c r="N1133" t="s">
        <v>3554</v>
      </c>
      <c r="O1133" t="s">
        <v>4135</v>
      </c>
      <c r="Q1133" t="s">
        <v>4147</v>
      </c>
      <c r="R1133" t="s">
        <v>3523</v>
      </c>
      <c r="T1133" t="s">
        <v>4156</v>
      </c>
      <c r="U1133" t="s">
        <v>4168</v>
      </c>
      <c r="V1133" t="s">
        <v>333</v>
      </c>
      <c r="W1133">
        <v>787.5700000000001</v>
      </c>
      <c r="X1133" t="s">
        <v>4196</v>
      </c>
      <c r="Y1133" t="s">
        <v>4198</v>
      </c>
      <c r="Z1133" t="s">
        <v>5179</v>
      </c>
      <c r="AB1133" t="s">
        <v>6505</v>
      </c>
      <c r="AC1133">
        <v>1000</v>
      </c>
      <c r="AD1133" t="s">
        <v>6772</v>
      </c>
      <c r="AE1133" t="s">
        <v>3526</v>
      </c>
      <c r="AF1133">
        <v>19</v>
      </c>
      <c r="AG1133">
        <v>1</v>
      </c>
      <c r="AH1133">
        <v>0</v>
      </c>
      <c r="AI1133">
        <v>184.15</v>
      </c>
      <c r="AL1133" t="s">
        <v>6801</v>
      </c>
      <c r="AM1133">
        <v>23000</v>
      </c>
    </row>
    <row r="1134" spans="1:44">
      <c r="A1134" s="1">
        <f>HYPERLINK("https://lsnyc.legalserver.org/matter/dynamic-profile/view/1905475","19-1905475")</f>
        <v>0</v>
      </c>
      <c r="B1134" t="s">
        <v>106</v>
      </c>
      <c r="C1134" t="s">
        <v>266</v>
      </c>
      <c r="D1134" t="s">
        <v>182</v>
      </c>
      <c r="E1134" t="s">
        <v>423</v>
      </c>
      <c r="F1134" t="s">
        <v>1951</v>
      </c>
      <c r="G1134" t="s">
        <v>2945</v>
      </c>
      <c r="H1134" t="s">
        <v>3413</v>
      </c>
      <c r="I1134" t="s">
        <v>3493</v>
      </c>
      <c r="J1134">
        <v>10460</v>
      </c>
      <c r="K1134" t="s">
        <v>3523</v>
      </c>
      <c r="L1134" t="s">
        <v>3526</v>
      </c>
      <c r="N1134" t="s">
        <v>4109</v>
      </c>
      <c r="O1134" t="s">
        <v>4132</v>
      </c>
      <c r="P1134" t="s">
        <v>4139</v>
      </c>
      <c r="Q1134" t="s">
        <v>4147</v>
      </c>
      <c r="T1134" t="s">
        <v>4156</v>
      </c>
      <c r="V1134" t="s">
        <v>225</v>
      </c>
      <c r="W1134">
        <v>1900</v>
      </c>
      <c r="X1134" t="s">
        <v>4194</v>
      </c>
      <c r="Y1134" t="s">
        <v>4200</v>
      </c>
      <c r="Z1134" t="s">
        <v>5180</v>
      </c>
      <c r="AC1134">
        <v>3</v>
      </c>
      <c r="AD1134" t="s">
        <v>5524</v>
      </c>
      <c r="AE1134" t="s">
        <v>3526</v>
      </c>
      <c r="AF1134">
        <v>9</v>
      </c>
      <c r="AG1134">
        <v>1</v>
      </c>
      <c r="AH1134">
        <v>0</v>
      </c>
      <c r="AI1134">
        <v>184.47</v>
      </c>
      <c r="AL1134" t="s">
        <v>6801</v>
      </c>
      <c r="AM1134">
        <v>23040</v>
      </c>
      <c r="AN1134" t="s">
        <v>6868</v>
      </c>
    </row>
    <row r="1135" spans="1:44">
      <c r="A1135" s="1">
        <f>HYPERLINK("https://lsnyc.legalserver.org/matter/dynamic-profile/view/1910523","19-1910523")</f>
        <v>0</v>
      </c>
      <c r="B1135" t="s">
        <v>102</v>
      </c>
      <c r="C1135" t="s">
        <v>203</v>
      </c>
      <c r="E1135" t="s">
        <v>1095</v>
      </c>
      <c r="F1135" t="s">
        <v>1952</v>
      </c>
      <c r="G1135" t="s">
        <v>2946</v>
      </c>
      <c r="H1135" t="s">
        <v>3414</v>
      </c>
      <c r="I1135" t="s">
        <v>3493</v>
      </c>
      <c r="J1135">
        <v>10453</v>
      </c>
      <c r="K1135" t="s">
        <v>3522</v>
      </c>
      <c r="L1135" t="s">
        <v>3527</v>
      </c>
      <c r="M1135" t="s">
        <v>4000</v>
      </c>
      <c r="N1135" t="s">
        <v>4109</v>
      </c>
      <c r="O1135" t="s">
        <v>4134</v>
      </c>
      <c r="Q1135" t="s">
        <v>4147</v>
      </c>
      <c r="R1135" t="s">
        <v>3523</v>
      </c>
      <c r="T1135" t="s">
        <v>4156</v>
      </c>
      <c r="U1135" t="s">
        <v>4168</v>
      </c>
      <c r="V1135" t="s">
        <v>203</v>
      </c>
      <c r="W1135">
        <v>1174</v>
      </c>
      <c r="X1135" t="s">
        <v>4194</v>
      </c>
      <c r="Y1135" t="s">
        <v>4201</v>
      </c>
      <c r="Z1135" t="s">
        <v>5181</v>
      </c>
      <c r="AA1135" t="s">
        <v>5644</v>
      </c>
      <c r="AB1135" t="s">
        <v>6506</v>
      </c>
      <c r="AC1135">
        <v>0</v>
      </c>
      <c r="AD1135" t="s">
        <v>6772</v>
      </c>
      <c r="AF1135">
        <v>33</v>
      </c>
      <c r="AG1135">
        <v>2</v>
      </c>
      <c r="AH1135">
        <v>0</v>
      </c>
      <c r="AI1135">
        <v>184.51</v>
      </c>
      <c r="AL1135" t="s">
        <v>6801</v>
      </c>
      <c r="AM1135">
        <v>31200</v>
      </c>
    </row>
    <row r="1136" spans="1:44">
      <c r="A1136" s="1">
        <f>HYPERLINK("https://lsnyc.legalserver.org/matter/dynamic-profile/view/1914174","19-1914174")</f>
        <v>0</v>
      </c>
      <c r="B1136" t="s">
        <v>92</v>
      </c>
      <c r="C1136" t="s">
        <v>191</v>
      </c>
      <c r="D1136" t="s">
        <v>243</v>
      </c>
      <c r="E1136" t="s">
        <v>877</v>
      </c>
      <c r="F1136" t="s">
        <v>1953</v>
      </c>
      <c r="G1136" t="s">
        <v>2947</v>
      </c>
      <c r="H1136" t="s">
        <v>3415</v>
      </c>
      <c r="I1136" t="s">
        <v>3495</v>
      </c>
      <c r="J1136">
        <v>10040</v>
      </c>
      <c r="K1136" t="s">
        <v>3522</v>
      </c>
      <c r="L1136" t="s">
        <v>3525</v>
      </c>
      <c r="N1136" t="s">
        <v>3554</v>
      </c>
      <c r="O1136" t="s">
        <v>4132</v>
      </c>
      <c r="P1136" t="s">
        <v>4139</v>
      </c>
      <c r="Q1136" t="s">
        <v>4147</v>
      </c>
      <c r="R1136" t="s">
        <v>3523</v>
      </c>
      <c r="T1136" t="s">
        <v>4156</v>
      </c>
      <c r="U1136" t="s">
        <v>4168</v>
      </c>
      <c r="V1136" t="s">
        <v>191</v>
      </c>
      <c r="W1136">
        <v>1231</v>
      </c>
      <c r="X1136" t="s">
        <v>4196</v>
      </c>
      <c r="Y1136" t="s">
        <v>4205</v>
      </c>
      <c r="Z1136" t="s">
        <v>5182</v>
      </c>
      <c r="AC1136">
        <v>189</v>
      </c>
      <c r="AD1136" t="s">
        <v>6772</v>
      </c>
      <c r="AE1136" t="s">
        <v>3526</v>
      </c>
      <c r="AF1136">
        <v>1</v>
      </c>
      <c r="AG1136">
        <v>2</v>
      </c>
      <c r="AH1136">
        <v>0</v>
      </c>
      <c r="AI1136">
        <v>184.51</v>
      </c>
      <c r="AM1136">
        <v>31200</v>
      </c>
    </row>
    <row r="1137" spans="1:44">
      <c r="A1137" s="1">
        <f>HYPERLINK("https://lsnyc.legalserver.org/matter/dynamic-profile/view/1858802","18-1858802")</f>
        <v>0</v>
      </c>
      <c r="B1137" t="s">
        <v>164</v>
      </c>
      <c r="C1137" t="s">
        <v>362</v>
      </c>
      <c r="D1137" t="s">
        <v>261</v>
      </c>
      <c r="E1137" t="s">
        <v>1096</v>
      </c>
      <c r="F1137" t="s">
        <v>1954</v>
      </c>
      <c r="G1137" t="s">
        <v>2948</v>
      </c>
      <c r="H1137" t="s">
        <v>3135</v>
      </c>
      <c r="I1137" t="s">
        <v>3493</v>
      </c>
      <c r="J1137">
        <v>10456</v>
      </c>
      <c r="K1137" t="s">
        <v>3522</v>
      </c>
      <c r="L1137" t="s">
        <v>3525</v>
      </c>
      <c r="M1137" t="s">
        <v>4001</v>
      </c>
      <c r="N1137" t="s">
        <v>4119</v>
      </c>
      <c r="O1137" t="s">
        <v>4134</v>
      </c>
      <c r="P1137" t="s">
        <v>4144</v>
      </c>
      <c r="Q1137" t="s">
        <v>4147</v>
      </c>
      <c r="T1137" t="s">
        <v>4166</v>
      </c>
      <c r="V1137" t="s">
        <v>336</v>
      </c>
      <c r="W1137">
        <v>0</v>
      </c>
      <c r="X1137" t="s">
        <v>4196</v>
      </c>
      <c r="Z1137" t="s">
        <v>5183</v>
      </c>
      <c r="AB1137" t="s">
        <v>6507</v>
      </c>
      <c r="AC1137">
        <v>0</v>
      </c>
      <c r="AF1137">
        <v>0</v>
      </c>
      <c r="AG1137">
        <v>2</v>
      </c>
      <c r="AH1137">
        <v>1</v>
      </c>
      <c r="AI1137">
        <v>186.09</v>
      </c>
      <c r="AL1137" t="s">
        <v>6811</v>
      </c>
      <c r="AM1137">
        <v>38000</v>
      </c>
      <c r="AQ1137" t="s">
        <v>6945</v>
      </c>
      <c r="AR1137" t="s">
        <v>7010</v>
      </c>
    </row>
    <row r="1138" spans="1:44">
      <c r="A1138" s="1">
        <f>HYPERLINK("https://lsnyc.legalserver.org/matter/dynamic-profile/view/1907313","19-1907313")</f>
        <v>0</v>
      </c>
      <c r="B1138" t="s">
        <v>47</v>
      </c>
      <c r="C1138" t="s">
        <v>225</v>
      </c>
      <c r="E1138" t="s">
        <v>1097</v>
      </c>
      <c r="F1138" t="s">
        <v>1955</v>
      </c>
      <c r="G1138" t="s">
        <v>2949</v>
      </c>
      <c r="H1138" t="s">
        <v>3149</v>
      </c>
      <c r="I1138" t="s">
        <v>3491</v>
      </c>
      <c r="J1138">
        <v>11105</v>
      </c>
      <c r="K1138" t="s">
        <v>3522</v>
      </c>
      <c r="L1138" t="s">
        <v>3525</v>
      </c>
      <c r="M1138" t="s">
        <v>4002</v>
      </c>
      <c r="N1138" t="s">
        <v>4109</v>
      </c>
      <c r="O1138" t="s">
        <v>4134</v>
      </c>
      <c r="Q1138" t="s">
        <v>4147</v>
      </c>
      <c r="R1138" t="s">
        <v>3523</v>
      </c>
      <c r="T1138" t="s">
        <v>4156</v>
      </c>
      <c r="U1138" t="s">
        <v>4169</v>
      </c>
      <c r="V1138" t="s">
        <v>273</v>
      </c>
      <c r="W1138">
        <v>2135</v>
      </c>
      <c r="X1138" t="s">
        <v>4192</v>
      </c>
      <c r="Y1138" t="s">
        <v>4197</v>
      </c>
      <c r="Z1138" t="s">
        <v>5184</v>
      </c>
      <c r="AB1138" t="s">
        <v>6508</v>
      </c>
      <c r="AC1138">
        <v>9</v>
      </c>
      <c r="AD1138" t="s">
        <v>6772</v>
      </c>
      <c r="AE1138" t="s">
        <v>3526</v>
      </c>
      <c r="AF1138">
        <v>2</v>
      </c>
      <c r="AG1138">
        <v>2</v>
      </c>
      <c r="AH1138">
        <v>2</v>
      </c>
      <c r="AI1138">
        <v>186.41</v>
      </c>
      <c r="AL1138" t="s">
        <v>6809</v>
      </c>
      <c r="AM1138">
        <v>48000</v>
      </c>
    </row>
    <row r="1139" spans="1:44">
      <c r="A1139" s="1">
        <f>HYPERLINK("https://lsnyc.legalserver.org/matter/dynamic-profile/view/1906984","19-1906984")</f>
        <v>0</v>
      </c>
      <c r="B1139" t="s">
        <v>73</v>
      </c>
      <c r="C1139" t="s">
        <v>217</v>
      </c>
      <c r="D1139" t="s">
        <v>298</v>
      </c>
      <c r="E1139" t="s">
        <v>389</v>
      </c>
      <c r="F1139" t="s">
        <v>841</v>
      </c>
      <c r="G1139" t="s">
        <v>2950</v>
      </c>
      <c r="H1139" t="s">
        <v>3238</v>
      </c>
      <c r="I1139" t="s">
        <v>3493</v>
      </c>
      <c r="J1139">
        <v>10475</v>
      </c>
      <c r="K1139" t="s">
        <v>3522</v>
      </c>
      <c r="L1139" t="s">
        <v>3525</v>
      </c>
      <c r="N1139" t="s">
        <v>4116</v>
      </c>
      <c r="O1139" t="s">
        <v>4135</v>
      </c>
      <c r="P1139" t="s">
        <v>4142</v>
      </c>
      <c r="Q1139" t="s">
        <v>4147</v>
      </c>
      <c r="R1139" t="s">
        <v>3523</v>
      </c>
      <c r="T1139" t="s">
        <v>4156</v>
      </c>
      <c r="V1139" t="s">
        <v>222</v>
      </c>
      <c r="W1139">
        <v>801.79</v>
      </c>
      <c r="X1139" t="s">
        <v>4194</v>
      </c>
      <c r="Y1139" t="s">
        <v>4206</v>
      </c>
      <c r="Z1139" t="s">
        <v>5185</v>
      </c>
      <c r="AB1139" t="s">
        <v>6509</v>
      </c>
      <c r="AC1139">
        <v>10914</v>
      </c>
      <c r="AD1139" t="s">
        <v>6775</v>
      </c>
      <c r="AE1139" t="s">
        <v>3526</v>
      </c>
      <c r="AF1139">
        <v>5</v>
      </c>
      <c r="AG1139">
        <v>1</v>
      </c>
      <c r="AH1139">
        <v>0</v>
      </c>
      <c r="AI1139">
        <v>186.87</v>
      </c>
      <c r="AL1139" t="s">
        <v>6801</v>
      </c>
      <c r="AM1139">
        <v>23340</v>
      </c>
    </row>
    <row r="1140" spans="1:44">
      <c r="A1140" s="1">
        <f>HYPERLINK("https://lsnyc.legalserver.org/matter/dynamic-profile/view/1906449","19-1906449")</f>
        <v>0</v>
      </c>
      <c r="B1140" t="s">
        <v>55</v>
      </c>
      <c r="C1140" t="s">
        <v>241</v>
      </c>
      <c r="E1140" t="s">
        <v>563</v>
      </c>
      <c r="F1140" t="s">
        <v>1956</v>
      </c>
      <c r="G1140" t="s">
        <v>2951</v>
      </c>
      <c r="H1140" t="s">
        <v>3211</v>
      </c>
      <c r="I1140" t="s">
        <v>3490</v>
      </c>
      <c r="J1140">
        <v>11239</v>
      </c>
      <c r="K1140" t="s">
        <v>3522</v>
      </c>
      <c r="L1140" t="s">
        <v>3525</v>
      </c>
      <c r="M1140" t="s">
        <v>4003</v>
      </c>
      <c r="N1140" t="s">
        <v>4109</v>
      </c>
      <c r="O1140" t="s">
        <v>4134</v>
      </c>
      <c r="Q1140" t="s">
        <v>4147</v>
      </c>
      <c r="R1140" t="s">
        <v>3523</v>
      </c>
      <c r="T1140" t="s">
        <v>4156</v>
      </c>
      <c r="U1140" t="s">
        <v>4168</v>
      </c>
      <c r="V1140" t="s">
        <v>217</v>
      </c>
      <c r="W1140">
        <v>1205</v>
      </c>
      <c r="X1140" t="s">
        <v>4193</v>
      </c>
      <c r="Y1140" t="s">
        <v>4210</v>
      </c>
      <c r="Z1140" t="s">
        <v>5186</v>
      </c>
      <c r="AA1140" t="s">
        <v>3562</v>
      </c>
      <c r="AB1140" t="s">
        <v>6510</v>
      </c>
      <c r="AC1140">
        <v>80</v>
      </c>
      <c r="AD1140" t="s">
        <v>6772</v>
      </c>
      <c r="AE1140" t="s">
        <v>6789</v>
      </c>
      <c r="AF1140">
        <v>9</v>
      </c>
      <c r="AG1140">
        <v>1</v>
      </c>
      <c r="AH1140">
        <v>0</v>
      </c>
      <c r="AI1140">
        <v>187.35</v>
      </c>
      <c r="AL1140" t="s">
        <v>6801</v>
      </c>
      <c r="AM1140">
        <v>23400</v>
      </c>
    </row>
    <row r="1141" spans="1:44">
      <c r="A1141" s="1">
        <f>HYPERLINK("https://lsnyc.legalserver.org/matter/dynamic-profile/view/1916654","19-1916654")</f>
        <v>0</v>
      </c>
      <c r="B1141" t="s">
        <v>57</v>
      </c>
      <c r="C1141" t="s">
        <v>213</v>
      </c>
      <c r="E1141" t="s">
        <v>563</v>
      </c>
      <c r="F1141" t="s">
        <v>1956</v>
      </c>
      <c r="G1141" t="s">
        <v>2951</v>
      </c>
      <c r="H1141" t="s">
        <v>3211</v>
      </c>
      <c r="I1141" t="s">
        <v>3490</v>
      </c>
      <c r="J1141">
        <v>11239</v>
      </c>
      <c r="K1141" t="s">
        <v>3522</v>
      </c>
      <c r="L1141" t="s">
        <v>3525</v>
      </c>
      <c r="M1141" t="s">
        <v>4003</v>
      </c>
      <c r="N1141" t="s">
        <v>4118</v>
      </c>
      <c r="Q1141" t="s">
        <v>4147</v>
      </c>
      <c r="R1141" t="s">
        <v>3523</v>
      </c>
      <c r="T1141" t="s">
        <v>4158</v>
      </c>
      <c r="U1141" t="s">
        <v>4170</v>
      </c>
      <c r="V1141" t="s">
        <v>242</v>
      </c>
      <c r="W1141">
        <v>12055</v>
      </c>
      <c r="X1141" t="s">
        <v>4193</v>
      </c>
      <c r="Y1141" t="s">
        <v>4210</v>
      </c>
      <c r="Z1141" t="s">
        <v>5186</v>
      </c>
      <c r="AB1141" t="s">
        <v>6510</v>
      </c>
      <c r="AC1141">
        <v>80</v>
      </c>
      <c r="AD1141" t="s">
        <v>6772</v>
      </c>
      <c r="AE1141" t="s">
        <v>6789</v>
      </c>
      <c r="AF1141">
        <v>9</v>
      </c>
      <c r="AG1141">
        <v>1</v>
      </c>
      <c r="AH1141">
        <v>0</v>
      </c>
      <c r="AI1141">
        <v>187.35</v>
      </c>
      <c r="AL1141" t="s">
        <v>6801</v>
      </c>
      <c r="AM1141">
        <v>23400</v>
      </c>
      <c r="AN1141" t="s">
        <v>6869</v>
      </c>
    </row>
    <row r="1142" spans="1:44">
      <c r="A1142" s="1">
        <f>HYPERLINK("https://lsnyc.legalserver.org/matter/dynamic-profile/view/1910992","19-1910992")</f>
        <v>0</v>
      </c>
      <c r="B1142" t="s">
        <v>57</v>
      </c>
      <c r="C1142" t="s">
        <v>270</v>
      </c>
      <c r="D1142" t="s">
        <v>256</v>
      </c>
      <c r="E1142" t="s">
        <v>1098</v>
      </c>
      <c r="F1142" t="s">
        <v>1295</v>
      </c>
      <c r="G1142" t="s">
        <v>2952</v>
      </c>
      <c r="I1142" t="s">
        <v>3490</v>
      </c>
      <c r="J1142">
        <v>11207</v>
      </c>
      <c r="K1142" t="s">
        <v>3522</v>
      </c>
      <c r="L1142" t="s">
        <v>3525</v>
      </c>
      <c r="M1142" t="s">
        <v>3562</v>
      </c>
      <c r="N1142" t="s">
        <v>3554</v>
      </c>
      <c r="O1142" t="s">
        <v>4132</v>
      </c>
      <c r="P1142" t="s">
        <v>4139</v>
      </c>
      <c r="Q1142" t="s">
        <v>4147</v>
      </c>
      <c r="R1142" t="s">
        <v>3523</v>
      </c>
      <c r="T1142" t="s">
        <v>4156</v>
      </c>
      <c r="U1142" t="s">
        <v>4168</v>
      </c>
      <c r="V1142" t="s">
        <v>251</v>
      </c>
      <c r="W1142">
        <v>1288</v>
      </c>
      <c r="X1142" t="s">
        <v>4193</v>
      </c>
      <c r="Z1142" t="s">
        <v>5187</v>
      </c>
      <c r="AA1142" t="s">
        <v>3562</v>
      </c>
      <c r="AB1142" t="s">
        <v>6511</v>
      </c>
      <c r="AC1142">
        <v>3</v>
      </c>
      <c r="AD1142" t="s">
        <v>6772</v>
      </c>
      <c r="AE1142" t="s">
        <v>3526</v>
      </c>
      <c r="AF1142">
        <v>6</v>
      </c>
      <c r="AG1142">
        <v>1</v>
      </c>
      <c r="AH1142">
        <v>0</v>
      </c>
      <c r="AI1142">
        <v>187.35</v>
      </c>
      <c r="AL1142" t="s">
        <v>6801</v>
      </c>
      <c r="AM1142">
        <v>23400</v>
      </c>
      <c r="AN1142" t="s">
        <v>6870</v>
      </c>
    </row>
    <row r="1143" spans="1:44">
      <c r="A1143" s="1">
        <f>HYPERLINK("https://lsnyc.legalserver.org/matter/dynamic-profile/view/1914441","19-1914441")</f>
        <v>0</v>
      </c>
      <c r="B1143" t="s">
        <v>124</v>
      </c>
      <c r="C1143" t="s">
        <v>289</v>
      </c>
      <c r="E1143" t="s">
        <v>423</v>
      </c>
      <c r="F1143" t="s">
        <v>1518</v>
      </c>
      <c r="G1143" t="s">
        <v>2953</v>
      </c>
      <c r="H1143">
        <v>12</v>
      </c>
      <c r="I1143" t="s">
        <v>3493</v>
      </c>
      <c r="J1143">
        <v>10458</v>
      </c>
      <c r="K1143" t="s">
        <v>3522</v>
      </c>
      <c r="L1143" t="s">
        <v>3525</v>
      </c>
      <c r="O1143" t="s">
        <v>4132</v>
      </c>
      <c r="Q1143" t="s">
        <v>4147</v>
      </c>
      <c r="R1143" t="s">
        <v>3523</v>
      </c>
      <c r="T1143" t="s">
        <v>4156</v>
      </c>
      <c r="V1143" t="s">
        <v>289</v>
      </c>
      <c r="W1143">
        <v>863.17</v>
      </c>
      <c r="X1143" t="s">
        <v>4194</v>
      </c>
      <c r="Z1143" t="s">
        <v>5188</v>
      </c>
      <c r="AB1143" t="s">
        <v>6512</v>
      </c>
      <c r="AC1143">
        <v>0</v>
      </c>
      <c r="AD1143" t="s">
        <v>6772</v>
      </c>
      <c r="AF1143">
        <v>0</v>
      </c>
      <c r="AG1143">
        <v>1</v>
      </c>
      <c r="AH1143">
        <v>0</v>
      </c>
      <c r="AI1143">
        <v>187.35</v>
      </c>
      <c r="AL1143" t="s">
        <v>6801</v>
      </c>
      <c r="AM1143">
        <v>23400</v>
      </c>
    </row>
    <row r="1144" spans="1:44">
      <c r="A1144" s="1">
        <f>HYPERLINK("https://lsnyc.legalserver.org/matter/dynamic-profile/view/1910082","19-1910082")</f>
        <v>0</v>
      </c>
      <c r="B1144" t="s">
        <v>73</v>
      </c>
      <c r="C1144" t="s">
        <v>230</v>
      </c>
      <c r="D1144" t="s">
        <v>215</v>
      </c>
      <c r="E1144" t="s">
        <v>1046</v>
      </c>
      <c r="F1144" t="s">
        <v>1957</v>
      </c>
      <c r="G1144" t="s">
        <v>2954</v>
      </c>
      <c r="H1144" t="s">
        <v>3139</v>
      </c>
      <c r="I1144" t="s">
        <v>3493</v>
      </c>
      <c r="J1144">
        <v>10452</v>
      </c>
      <c r="K1144" t="s">
        <v>3522</v>
      </c>
      <c r="L1144" t="s">
        <v>3525</v>
      </c>
      <c r="N1144" t="s">
        <v>3554</v>
      </c>
      <c r="O1144" t="s">
        <v>4132</v>
      </c>
      <c r="P1144" t="s">
        <v>4139</v>
      </c>
      <c r="Q1144" t="s">
        <v>4147</v>
      </c>
      <c r="R1144" t="s">
        <v>3523</v>
      </c>
      <c r="T1144" t="s">
        <v>4156</v>
      </c>
      <c r="V1144" t="s">
        <v>201</v>
      </c>
      <c r="W1144">
        <v>1350</v>
      </c>
      <c r="X1144" t="s">
        <v>4194</v>
      </c>
      <c r="Y1144" t="s">
        <v>4206</v>
      </c>
      <c r="Z1144" t="s">
        <v>5189</v>
      </c>
      <c r="AB1144" t="s">
        <v>6513</v>
      </c>
      <c r="AC1144">
        <v>67</v>
      </c>
      <c r="AD1144" t="s">
        <v>6772</v>
      </c>
      <c r="AE1144" t="s">
        <v>3526</v>
      </c>
      <c r="AF1144">
        <v>3</v>
      </c>
      <c r="AG1144">
        <v>1</v>
      </c>
      <c r="AH1144">
        <v>0</v>
      </c>
      <c r="AI1144">
        <v>187.35</v>
      </c>
      <c r="AL1144" t="s">
        <v>6801</v>
      </c>
      <c r="AM1144">
        <v>23400</v>
      </c>
    </row>
    <row r="1145" spans="1:44">
      <c r="A1145" s="1">
        <f>HYPERLINK("https://lsnyc.legalserver.org/matter/dynamic-profile/view/1916198","19-1916198")</f>
        <v>0</v>
      </c>
      <c r="B1145" t="s">
        <v>115</v>
      </c>
      <c r="C1145" t="s">
        <v>208</v>
      </c>
      <c r="D1145" t="s">
        <v>243</v>
      </c>
      <c r="E1145" t="s">
        <v>1099</v>
      </c>
      <c r="F1145" t="s">
        <v>1958</v>
      </c>
      <c r="G1145" t="s">
        <v>2955</v>
      </c>
      <c r="H1145" t="s">
        <v>3139</v>
      </c>
      <c r="I1145" t="s">
        <v>3495</v>
      </c>
      <c r="J1145">
        <v>10027</v>
      </c>
      <c r="K1145" t="s">
        <v>3522</v>
      </c>
      <c r="L1145" t="s">
        <v>3525</v>
      </c>
      <c r="N1145" t="s">
        <v>4112</v>
      </c>
      <c r="O1145" t="s">
        <v>4135</v>
      </c>
      <c r="P1145" t="s">
        <v>4142</v>
      </c>
      <c r="Q1145" t="s">
        <v>4147</v>
      </c>
      <c r="R1145" t="s">
        <v>3523</v>
      </c>
      <c r="T1145" t="s">
        <v>4156</v>
      </c>
      <c r="V1145" t="s">
        <v>208</v>
      </c>
      <c r="W1145">
        <v>1473.81</v>
      </c>
      <c r="X1145" t="s">
        <v>4196</v>
      </c>
      <c r="Y1145" t="s">
        <v>4198</v>
      </c>
      <c r="Z1145" t="s">
        <v>5190</v>
      </c>
      <c r="AC1145">
        <v>55</v>
      </c>
      <c r="AD1145" t="s">
        <v>6772</v>
      </c>
      <c r="AE1145" t="s">
        <v>3526</v>
      </c>
      <c r="AF1145">
        <v>15</v>
      </c>
      <c r="AG1145">
        <v>1</v>
      </c>
      <c r="AH1145">
        <v>0</v>
      </c>
      <c r="AI1145">
        <v>187.35</v>
      </c>
      <c r="AL1145" t="s">
        <v>6801</v>
      </c>
      <c r="AM1145">
        <v>23400</v>
      </c>
    </row>
    <row r="1146" spans="1:44">
      <c r="A1146" s="1">
        <f>HYPERLINK("https://lsnyc.legalserver.org/matter/dynamic-profile/view/1915642","19-1915642")</f>
        <v>0</v>
      </c>
      <c r="B1146" t="s">
        <v>46</v>
      </c>
      <c r="C1146" t="s">
        <v>325</v>
      </c>
      <c r="E1146" t="s">
        <v>632</v>
      </c>
      <c r="F1146" t="s">
        <v>1959</v>
      </c>
      <c r="G1146" t="s">
        <v>2956</v>
      </c>
      <c r="I1146" t="s">
        <v>3480</v>
      </c>
      <c r="J1146">
        <v>11432</v>
      </c>
      <c r="K1146" t="s">
        <v>3522</v>
      </c>
      <c r="L1146" t="s">
        <v>3525</v>
      </c>
      <c r="N1146" t="s">
        <v>3554</v>
      </c>
      <c r="O1146" t="s">
        <v>4136</v>
      </c>
      <c r="Q1146" t="s">
        <v>4148</v>
      </c>
      <c r="R1146" t="s">
        <v>3523</v>
      </c>
      <c r="T1146" t="s">
        <v>4156</v>
      </c>
      <c r="V1146" t="s">
        <v>325</v>
      </c>
      <c r="W1146">
        <v>2100</v>
      </c>
      <c r="X1146" t="s">
        <v>4192</v>
      </c>
      <c r="Y1146" t="s">
        <v>4199</v>
      </c>
      <c r="Z1146" t="s">
        <v>5191</v>
      </c>
      <c r="AB1146" t="s">
        <v>6514</v>
      </c>
      <c r="AC1146">
        <v>24</v>
      </c>
      <c r="AD1146" t="s">
        <v>6771</v>
      </c>
      <c r="AF1146">
        <v>1</v>
      </c>
      <c r="AG1146">
        <v>2</v>
      </c>
      <c r="AH1146">
        <v>1</v>
      </c>
      <c r="AI1146">
        <v>187.53</v>
      </c>
      <c r="AJ1146" t="s">
        <v>6795</v>
      </c>
      <c r="AK1146" t="s">
        <v>6798</v>
      </c>
      <c r="AL1146" t="s">
        <v>6801</v>
      </c>
      <c r="AM1146">
        <v>40000</v>
      </c>
    </row>
    <row r="1147" spans="1:44">
      <c r="A1147" s="1">
        <f>HYPERLINK("https://lsnyc.legalserver.org/matter/dynamic-profile/view/1908507","19-1908507")</f>
        <v>0</v>
      </c>
      <c r="B1147" t="s">
        <v>47</v>
      </c>
      <c r="C1147" t="s">
        <v>224</v>
      </c>
      <c r="E1147" t="s">
        <v>1100</v>
      </c>
      <c r="F1147" t="s">
        <v>1960</v>
      </c>
      <c r="G1147" t="s">
        <v>2957</v>
      </c>
      <c r="H1147" t="s">
        <v>3283</v>
      </c>
      <c r="I1147" t="s">
        <v>3488</v>
      </c>
      <c r="J1147">
        <v>11354</v>
      </c>
      <c r="K1147" t="s">
        <v>3522</v>
      </c>
      <c r="L1147" t="s">
        <v>3525</v>
      </c>
      <c r="M1147" t="s">
        <v>4004</v>
      </c>
      <c r="N1147" t="s">
        <v>4109</v>
      </c>
      <c r="O1147" t="s">
        <v>4132</v>
      </c>
      <c r="Q1147" t="s">
        <v>4147</v>
      </c>
      <c r="R1147" t="s">
        <v>3523</v>
      </c>
      <c r="T1147" t="s">
        <v>4156</v>
      </c>
      <c r="U1147" t="s">
        <v>4168</v>
      </c>
      <c r="V1147" t="s">
        <v>224</v>
      </c>
      <c r="W1147">
        <v>1550</v>
      </c>
      <c r="X1147" t="s">
        <v>4192</v>
      </c>
      <c r="Y1147" t="s">
        <v>4197</v>
      </c>
      <c r="Z1147" t="s">
        <v>5192</v>
      </c>
      <c r="AA1147" t="s">
        <v>5482</v>
      </c>
      <c r="AB1147" t="s">
        <v>6515</v>
      </c>
      <c r="AC1147">
        <v>24</v>
      </c>
      <c r="AD1147" t="s">
        <v>5524</v>
      </c>
      <c r="AE1147" t="s">
        <v>3526</v>
      </c>
      <c r="AF1147">
        <v>4</v>
      </c>
      <c r="AG1147">
        <v>1</v>
      </c>
      <c r="AH1147">
        <v>2</v>
      </c>
      <c r="AI1147">
        <v>187.53</v>
      </c>
      <c r="AL1147" t="s">
        <v>6801</v>
      </c>
      <c r="AM1147">
        <v>40000</v>
      </c>
    </row>
    <row r="1148" spans="1:44">
      <c r="A1148" s="1">
        <f>HYPERLINK("https://lsnyc.legalserver.org/matter/dynamic-profile/view/1910645","19-1910645")</f>
        <v>0</v>
      </c>
      <c r="B1148" t="s">
        <v>99</v>
      </c>
      <c r="C1148" t="s">
        <v>177</v>
      </c>
      <c r="E1148" t="s">
        <v>1101</v>
      </c>
      <c r="F1148" t="s">
        <v>1373</v>
      </c>
      <c r="G1148" t="s">
        <v>2480</v>
      </c>
      <c r="H1148" t="s">
        <v>3320</v>
      </c>
      <c r="I1148" t="s">
        <v>3495</v>
      </c>
      <c r="J1148">
        <v>10035</v>
      </c>
      <c r="K1148" t="s">
        <v>3522</v>
      </c>
      <c r="L1148" t="s">
        <v>3525</v>
      </c>
      <c r="N1148" t="s">
        <v>4110</v>
      </c>
      <c r="O1148" t="s">
        <v>4133</v>
      </c>
      <c r="Q1148" t="s">
        <v>4147</v>
      </c>
      <c r="R1148" t="s">
        <v>3522</v>
      </c>
      <c r="T1148" t="s">
        <v>4156</v>
      </c>
      <c r="U1148" t="s">
        <v>4170</v>
      </c>
      <c r="V1148" t="s">
        <v>341</v>
      </c>
      <c r="W1148">
        <v>1461</v>
      </c>
      <c r="X1148" t="s">
        <v>4196</v>
      </c>
      <c r="Y1148" t="s">
        <v>4198</v>
      </c>
      <c r="Z1148" t="s">
        <v>5193</v>
      </c>
      <c r="AB1148" t="s">
        <v>6516</v>
      </c>
      <c r="AC1148">
        <v>60</v>
      </c>
      <c r="AD1148" t="s">
        <v>6772</v>
      </c>
      <c r="AE1148" t="s">
        <v>6786</v>
      </c>
      <c r="AF1148">
        <v>15</v>
      </c>
      <c r="AG1148">
        <v>2</v>
      </c>
      <c r="AH1148">
        <v>1</v>
      </c>
      <c r="AI1148">
        <v>187.53</v>
      </c>
      <c r="AL1148" t="s">
        <v>6801</v>
      </c>
      <c r="AM1148">
        <v>40000</v>
      </c>
    </row>
    <row r="1149" spans="1:44">
      <c r="A1149" s="1">
        <f>HYPERLINK("https://lsnyc.legalserver.org/matter/dynamic-profile/view/1910642","19-1910642")</f>
        <v>0</v>
      </c>
      <c r="B1149" t="s">
        <v>99</v>
      </c>
      <c r="C1149" t="s">
        <v>177</v>
      </c>
      <c r="E1149" t="s">
        <v>1101</v>
      </c>
      <c r="F1149" t="s">
        <v>1373</v>
      </c>
      <c r="G1149" t="s">
        <v>2480</v>
      </c>
      <c r="H1149" t="s">
        <v>3320</v>
      </c>
      <c r="I1149" t="s">
        <v>3495</v>
      </c>
      <c r="J1149">
        <v>10035</v>
      </c>
      <c r="K1149" t="s">
        <v>3522</v>
      </c>
      <c r="L1149" t="s">
        <v>3525</v>
      </c>
      <c r="N1149" t="s">
        <v>3554</v>
      </c>
      <c r="O1149" t="s">
        <v>4133</v>
      </c>
      <c r="Q1149" t="s">
        <v>4147</v>
      </c>
      <c r="R1149" t="s">
        <v>3522</v>
      </c>
      <c r="T1149" t="s">
        <v>4156</v>
      </c>
      <c r="U1149" t="s">
        <v>4168</v>
      </c>
      <c r="V1149" t="s">
        <v>341</v>
      </c>
      <c r="W1149">
        <v>1461</v>
      </c>
      <c r="X1149" t="s">
        <v>4196</v>
      </c>
      <c r="Y1149" t="s">
        <v>4198</v>
      </c>
      <c r="Z1149" t="s">
        <v>5193</v>
      </c>
      <c r="AB1149" t="s">
        <v>6516</v>
      </c>
      <c r="AC1149">
        <v>60</v>
      </c>
      <c r="AD1149" t="s">
        <v>6772</v>
      </c>
      <c r="AE1149" t="s">
        <v>6786</v>
      </c>
      <c r="AF1149">
        <v>15</v>
      </c>
      <c r="AG1149">
        <v>2</v>
      </c>
      <c r="AH1149">
        <v>1</v>
      </c>
      <c r="AI1149">
        <v>187.53</v>
      </c>
      <c r="AL1149" t="s">
        <v>6801</v>
      </c>
      <c r="AM1149">
        <v>40000</v>
      </c>
    </row>
    <row r="1150" spans="1:44">
      <c r="A1150" s="1">
        <f>HYPERLINK("https://lsnyc.legalserver.org/matter/dynamic-profile/view/1910640","19-1910640")</f>
        <v>0</v>
      </c>
      <c r="B1150" t="s">
        <v>99</v>
      </c>
      <c r="C1150" t="s">
        <v>177</v>
      </c>
      <c r="D1150" t="s">
        <v>208</v>
      </c>
      <c r="E1150" t="s">
        <v>1101</v>
      </c>
      <c r="F1150" t="s">
        <v>1373</v>
      </c>
      <c r="G1150" t="s">
        <v>2480</v>
      </c>
      <c r="H1150" t="s">
        <v>3320</v>
      </c>
      <c r="I1150" t="s">
        <v>3495</v>
      </c>
      <c r="J1150">
        <v>10035</v>
      </c>
      <c r="K1150" t="s">
        <v>3522</v>
      </c>
      <c r="L1150" t="s">
        <v>3525</v>
      </c>
      <c r="M1150" t="s">
        <v>4005</v>
      </c>
      <c r="N1150" t="s">
        <v>4109</v>
      </c>
      <c r="O1150" t="s">
        <v>4134</v>
      </c>
      <c r="P1150" t="s">
        <v>4140</v>
      </c>
      <c r="Q1150" t="s">
        <v>4147</v>
      </c>
      <c r="R1150" t="s">
        <v>3522</v>
      </c>
      <c r="T1150" t="s">
        <v>4156</v>
      </c>
      <c r="U1150" t="s">
        <v>4168</v>
      </c>
      <c r="V1150" t="s">
        <v>177</v>
      </c>
      <c r="W1150">
        <v>1461</v>
      </c>
      <c r="X1150" t="s">
        <v>4196</v>
      </c>
      <c r="Y1150" t="s">
        <v>4198</v>
      </c>
      <c r="Z1150" t="s">
        <v>5193</v>
      </c>
      <c r="AB1150" t="s">
        <v>6516</v>
      </c>
      <c r="AC1150">
        <v>60</v>
      </c>
      <c r="AD1150" t="s">
        <v>6772</v>
      </c>
      <c r="AE1150" t="s">
        <v>6786</v>
      </c>
      <c r="AF1150">
        <v>15</v>
      </c>
      <c r="AG1150">
        <v>1</v>
      </c>
      <c r="AH1150">
        <v>2</v>
      </c>
      <c r="AI1150">
        <v>187.53</v>
      </c>
      <c r="AL1150" t="s">
        <v>6801</v>
      </c>
      <c r="AM1150">
        <v>40000</v>
      </c>
      <c r="AO1150" t="s">
        <v>6916</v>
      </c>
      <c r="AP1150" t="s">
        <v>6924</v>
      </c>
      <c r="AQ1150" t="s">
        <v>6945</v>
      </c>
      <c r="AR1150" t="s">
        <v>6954</v>
      </c>
    </row>
    <row r="1151" spans="1:44">
      <c r="A1151" s="1">
        <f>HYPERLINK("https://lsnyc.legalserver.org/matter/dynamic-profile/view/1911557","19-1911557")</f>
        <v>0</v>
      </c>
      <c r="B1151" t="s">
        <v>123</v>
      </c>
      <c r="C1151" t="s">
        <v>215</v>
      </c>
      <c r="E1151" t="s">
        <v>1102</v>
      </c>
      <c r="F1151" t="s">
        <v>1961</v>
      </c>
      <c r="G1151" t="s">
        <v>2454</v>
      </c>
      <c r="H1151" t="s">
        <v>3272</v>
      </c>
      <c r="I1151" t="s">
        <v>3495</v>
      </c>
      <c r="J1151">
        <v>10040</v>
      </c>
      <c r="K1151" t="s">
        <v>3522</v>
      </c>
      <c r="L1151" t="s">
        <v>3525</v>
      </c>
      <c r="N1151" t="s">
        <v>4115</v>
      </c>
      <c r="O1151" t="s">
        <v>4134</v>
      </c>
      <c r="Q1151" t="s">
        <v>4147</v>
      </c>
      <c r="R1151" t="s">
        <v>3522</v>
      </c>
      <c r="T1151" t="s">
        <v>4156</v>
      </c>
      <c r="V1151" t="s">
        <v>215</v>
      </c>
      <c r="W1151">
        <v>700</v>
      </c>
      <c r="X1151" t="s">
        <v>4196</v>
      </c>
      <c r="Y1151" t="s">
        <v>4205</v>
      </c>
      <c r="Z1151" t="s">
        <v>5194</v>
      </c>
      <c r="AB1151" t="s">
        <v>6517</v>
      </c>
      <c r="AC1151">
        <v>44</v>
      </c>
      <c r="AD1151" t="s">
        <v>6772</v>
      </c>
      <c r="AE1151" t="s">
        <v>3526</v>
      </c>
      <c r="AF1151">
        <v>47</v>
      </c>
      <c r="AG1151">
        <v>1</v>
      </c>
      <c r="AH1151">
        <v>0</v>
      </c>
      <c r="AI1151">
        <v>187.64</v>
      </c>
      <c r="AL1151" t="s">
        <v>6802</v>
      </c>
      <c r="AM1151">
        <v>23436</v>
      </c>
    </row>
    <row r="1152" spans="1:44">
      <c r="A1152" s="1">
        <f>HYPERLINK("https://lsnyc.legalserver.org/matter/dynamic-profile/view/1913174","19-1913174")</f>
        <v>0</v>
      </c>
      <c r="B1152" t="s">
        <v>90</v>
      </c>
      <c r="C1152" t="s">
        <v>186</v>
      </c>
      <c r="D1152" t="s">
        <v>248</v>
      </c>
      <c r="E1152" t="s">
        <v>1102</v>
      </c>
      <c r="F1152" t="s">
        <v>1961</v>
      </c>
      <c r="G1152" t="s">
        <v>2454</v>
      </c>
      <c r="H1152" t="s">
        <v>3272</v>
      </c>
      <c r="I1152" t="s">
        <v>3495</v>
      </c>
      <c r="J1152">
        <v>10040</v>
      </c>
      <c r="K1152" t="s">
        <v>3522</v>
      </c>
      <c r="L1152" t="s">
        <v>3525</v>
      </c>
      <c r="M1152" t="s">
        <v>3971</v>
      </c>
      <c r="N1152" t="s">
        <v>4108</v>
      </c>
      <c r="O1152" t="s">
        <v>4134</v>
      </c>
      <c r="P1152" t="s">
        <v>4140</v>
      </c>
      <c r="Q1152" t="s">
        <v>4147</v>
      </c>
      <c r="R1152" t="s">
        <v>3522</v>
      </c>
      <c r="T1152" t="s">
        <v>4156</v>
      </c>
      <c r="V1152" t="s">
        <v>186</v>
      </c>
      <c r="W1152">
        <v>700</v>
      </c>
      <c r="X1152" t="s">
        <v>4196</v>
      </c>
      <c r="Y1152" t="s">
        <v>4201</v>
      </c>
      <c r="Z1152" t="s">
        <v>5194</v>
      </c>
      <c r="AB1152" t="s">
        <v>6517</v>
      </c>
      <c r="AC1152">
        <v>44</v>
      </c>
      <c r="AD1152" t="s">
        <v>6772</v>
      </c>
      <c r="AE1152" t="s">
        <v>3526</v>
      </c>
      <c r="AF1152">
        <v>47</v>
      </c>
      <c r="AG1152">
        <v>1</v>
      </c>
      <c r="AH1152">
        <v>0</v>
      </c>
      <c r="AI1152">
        <v>187.64</v>
      </c>
      <c r="AL1152" t="s">
        <v>6802</v>
      </c>
      <c r="AM1152">
        <v>23436</v>
      </c>
    </row>
    <row r="1153" spans="1:44">
      <c r="A1153" s="1">
        <f>HYPERLINK("https://lsnyc.legalserver.org/matter/dynamic-profile/view/1904977","19-1904977")</f>
        <v>0</v>
      </c>
      <c r="B1153" t="s">
        <v>75</v>
      </c>
      <c r="C1153" t="s">
        <v>272</v>
      </c>
      <c r="E1153" t="s">
        <v>819</v>
      </c>
      <c r="F1153" t="s">
        <v>1439</v>
      </c>
      <c r="G1153" t="s">
        <v>2368</v>
      </c>
      <c r="H1153" t="s">
        <v>3242</v>
      </c>
      <c r="I1153" t="s">
        <v>3493</v>
      </c>
      <c r="J1153">
        <v>10453</v>
      </c>
      <c r="K1153" t="s">
        <v>3522</v>
      </c>
      <c r="L1153" t="s">
        <v>3525</v>
      </c>
      <c r="M1153" t="s">
        <v>3662</v>
      </c>
      <c r="N1153" t="s">
        <v>4110</v>
      </c>
      <c r="O1153" t="s">
        <v>4137</v>
      </c>
      <c r="Q1153" t="s">
        <v>4147</v>
      </c>
      <c r="R1153" t="s">
        <v>3522</v>
      </c>
      <c r="T1153" t="s">
        <v>4156</v>
      </c>
      <c r="V1153" t="s">
        <v>4181</v>
      </c>
      <c r="W1153">
        <v>1140</v>
      </c>
      <c r="X1153" t="s">
        <v>4194</v>
      </c>
      <c r="Y1153" t="s">
        <v>4206</v>
      </c>
      <c r="Z1153" t="s">
        <v>5195</v>
      </c>
      <c r="AB1153" t="s">
        <v>6518</v>
      </c>
      <c r="AC1153">
        <v>170</v>
      </c>
      <c r="AD1153" t="s">
        <v>6772</v>
      </c>
      <c r="AE1153" t="s">
        <v>3526</v>
      </c>
      <c r="AF1153">
        <v>6</v>
      </c>
      <c r="AG1153">
        <v>1</v>
      </c>
      <c r="AH1153">
        <v>1</v>
      </c>
      <c r="AI1153">
        <v>187.89</v>
      </c>
      <c r="AL1153" t="s">
        <v>6802</v>
      </c>
      <c r="AM1153">
        <v>31772</v>
      </c>
    </row>
    <row r="1154" spans="1:44">
      <c r="A1154" s="1">
        <f>HYPERLINK("https://lsnyc.legalserver.org/matter/dynamic-profile/view/1909487","19-1909487")</f>
        <v>0</v>
      </c>
      <c r="B1154" t="s">
        <v>142</v>
      </c>
      <c r="C1154" t="s">
        <v>184</v>
      </c>
      <c r="E1154" t="s">
        <v>665</v>
      </c>
      <c r="F1154" t="s">
        <v>1962</v>
      </c>
      <c r="G1154" t="s">
        <v>2958</v>
      </c>
      <c r="I1154" t="s">
        <v>3493</v>
      </c>
      <c r="J1154">
        <v>10451</v>
      </c>
      <c r="K1154" t="s">
        <v>3522</v>
      </c>
      <c r="L1154" t="s">
        <v>3525</v>
      </c>
      <c r="N1154" t="s">
        <v>4122</v>
      </c>
      <c r="O1154" t="s">
        <v>4132</v>
      </c>
      <c r="Q1154" t="s">
        <v>4147</v>
      </c>
      <c r="R1154" t="s">
        <v>3523</v>
      </c>
      <c r="T1154" t="s">
        <v>4156</v>
      </c>
      <c r="V1154" t="s">
        <v>203</v>
      </c>
      <c r="W1154">
        <v>0</v>
      </c>
      <c r="X1154" t="s">
        <v>4194</v>
      </c>
      <c r="Y1154" t="s">
        <v>4205</v>
      </c>
      <c r="Z1154" t="s">
        <v>5196</v>
      </c>
      <c r="AB1154" t="s">
        <v>6519</v>
      </c>
      <c r="AC1154">
        <v>0</v>
      </c>
      <c r="AD1154" t="s">
        <v>6772</v>
      </c>
      <c r="AF1154">
        <v>13</v>
      </c>
      <c r="AG1154">
        <v>1</v>
      </c>
      <c r="AH1154">
        <v>0</v>
      </c>
      <c r="AI1154">
        <v>188.69</v>
      </c>
      <c r="AL1154" t="s">
        <v>6801</v>
      </c>
      <c r="AM1154">
        <v>23568</v>
      </c>
    </row>
    <row r="1155" spans="1:44">
      <c r="A1155" s="1">
        <f>HYPERLINK("https://lsnyc.legalserver.org/matter/dynamic-profile/view/1908595","19-1908595")</f>
        <v>0</v>
      </c>
      <c r="B1155" t="s">
        <v>61</v>
      </c>
      <c r="C1155" t="s">
        <v>279</v>
      </c>
      <c r="D1155" t="s">
        <v>212</v>
      </c>
      <c r="E1155" t="s">
        <v>552</v>
      </c>
      <c r="F1155" t="s">
        <v>1480</v>
      </c>
      <c r="G1155" t="s">
        <v>2959</v>
      </c>
      <c r="I1155" t="s">
        <v>3490</v>
      </c>
      <c r="J1155">
        <v>11209</v>
      </c>
      <c r="K1155" t="s">
        <v>3522</v>
      </c>
      <c r="L1155" t="s">
        <v>3525</v>
      </c>
      <c r="M1155" t="s">
        <v>3562</v>
      </c>
      <c r="N1155" t="s">
        <v>4108</v>
      </c>
      <c r="O1155" t="s">
        <v>4132</v>
      </c>
      <c r="P1155" t="s">
        <v>4139</v>
      </c>
      <c r="Q1155" t="s">
        <v>4147</v>
      </c>
      <c r="R1155" t="s">
        <v>3523</v>
      </c>
      <c r="T1155" t="s">
        <v>4156</v>
      </c>
      <c r="U1155" t="s">
        <v>4168</v>
      </c>
      <c r="V1155" t="s">
        <v>234</v>
      </c>
      <c r="W1155">
        <v>3000</v>
      </c>
      <c r="X1155" t="s">
        <v>4193</v>
      </c>
      <c r="Y1155" t="s">
        <v>4210</v>
      </c>
      <c r="Z1155" t="s">
        <v>4888</v>
      </c>
      <c r="AA1155" t="s">
        <v>3562</v>
      </c>
      <c r="AB1155" t="s">
        <v>6520</v>
      </c>
      <c r="AC1155">
        <v>1</v>
      </c>
      <c r="AD1155" t="s">
        <v>5524</v>
      </c>
      <c r="AE1155" t="s">
        <v>3526</v>
      </c>
      <c r="AF1155">
        <v>2</v>
      </c>
      <c r="AG1155">
        <v>2</v>
      </c>
      <c r="AH1155">
        <v>1</v>
      </c>
      <c r="AI1155">
        <v>188.99</v>
      </c>
      <c r="AL1155" t="s">
        <v>6801</v>
      </c>
      <c r="AM1155">
        <v>40312</v>
      </c>
    </row>
    <row r="1156" spans="1:44">
      <c r="A1156" s="1">
        <f>HYPERLINK("https://lsnyc.legalserver.org/matter/dynamic-profile/view/1914799","19-1914799")</f>
        <v>0</v>
      </c>
      <c r="B1156" t="s">
        <v>67</v>
      </c>
      <c r="C1156" t="s">
        <v>267</v>
      </c>
      <c r="E1156" t="s">
        <v>1103</v>
      </c>
      <c r="F1156" t="s">
        <v>1963</v>
      </c>
      <c r="G1156" t="s">
        <v>2212</v>
      </c>
      <c r="H1156">
        <v>7</v>
      </c>
      <c r="I1156" t="s">
        <v>3490</v>
      </c>
      <c r="J1156">
        <v>11213</v>
      </c>
      <c r="K1156" t="s">
        <v>3522</v>
      </c>
      <c r="L1156" t="s">
        <v>3525</v>
      </c>
      <c r="M1156" t="s">
        <v>3847</v>
      </c>
      <c r="N1156" t="s">
        <v>4115</v>
      </c>
      <c r="O1156" t="s">
        <v>4134</v>
      </c>
      <c r="Q1156" t="s">
        <v>4147</v>
      </c>
      <c r="R1156" t="s">
        <v>3522</v>
      </c>
      <c r="T1156" t="s">
        <v>4156</v>
      </c>
      <c r="U1156" t="s">
        <v>4168</v>
      </c>
      <c r="V1156" t="s">
        <v>4178</v>
      </c>
      <c r="W1156">
        <v>931.36</v>
      </c>
      <c r="X1156" t="s">
        <v>4193</v>
      </c>
      <c r="Y1156" t="s">
        <v>4206</v>
      </c>
      <c r="Z1156" t="s">
        <v>5197</v>
      </c>
      <c r="AA1156" t="s">
        <v>3526</v>
      </c>
      <c r="AC1156">
        <v>31</v>
      </c>
      <c r="AD1156" t="s">
        <v>6772</v>
      </c>
      <c r="AE1156" t="s">
        <v>3526</v>
      </c>
      <c r="AF1156">
        <v>35</v>
      </c>
      <c r="AG1156">
        <v>2</v>
      </c>
      <c r="AH1156">
        <v>0</v>
      </c>
      <c r="AI1156">
        <v>189.24</v>
      </c>
      <c r="AL1156" t="s">
        <v>6801</v>
      </c>
      <c r="AM1156">
        <v>32000</v>
      </c>
    </row>
    <row r="1157" spans="1:44">
      <c r="A1157" s="1">
        <f>HYPERLINK("https://lsnyc.legalserver.org/matter/dynamic-profile/view/1914043","19-1914043")</f>
        <v>0</v>
      </c>
      <c r="B1157" t="s">
        <v>99</v>
      </c>
      <c r="C1157" t="s">
        <v>191</v>
      </c>
      <c r="E1157" t="s">
        <v>1104</v>
      </c>
      <c r="F1157" t="s">
        <v>1964</v>
      </c>
      <c r="G1157" t="s">
        <v>2373</v>
      </c>
      <c r="H1157">
        <v>506</v>
      </c>
      <c r="I1157" t="s">
        <v>3495</v>
      </c>
      <c r="J1157">
        <v>10029</v>
      </c>
      <c r="K1157" t="s">
        <v>3522</v>
      </c>
      <c r="L1157" t="s">
        <v>3525</v>
      </c>
      <c r="N1157" t="s">
        <v>3554</v>
      </c>
      <c r="O1157" t="s">
        <v>4136</v>
      </c>
      <c r="Q1157" t="s">
        <v>4147</v>
      </c>
      <c r="R1157" t="s">
        <v>3522</v>
      </c>
      <c r="T1157" t="s">
        <v>4156</v>
      </c>
      <c r="U1157" t="s">
        <v>4168</v>
      </c>
      <c r="V1157" t="s">
        <v>199</v>
      </c>
      <c r="W1157">
        <v>689</v>
      </c>
      <c r="X1157" t="s">
        <v>4196</v>
      </c>
      <c r="Y1157" t="s">
        <v>4198</v>
      </c>
      <c r="Z1157" t="s">
        <v>5198</v>
      </c>
      <c r="AB1157" t="s">
        <v>6521</v>
      </c>
      <c r="AC1157">
        <v>108</v>
      </c>
      <c r="AD1157" t="s">
        <v>6772</v>
      </c>
      <c r="AE1157" t="s">
        <v>6786</v>
      </c>
      <c r="AF1157">
        <v>1</v>
      </c>
      <c r="AG1157">
        <v>1</v>
      </c>
      <c r="AH1157">
        <v>1</v>
      </c>
      <c r="AI1157">
        <v>189.24</v>
      </c>
      <c r="AL1157" t="s">
        <v>6801</v>
      </c>
      <c r="AM1157">
        <v>32000</v>
      </c>
    </row>
    <row r="1158" spans="1:44">
      <c r="A1158" s="1">
        <f>HYPERLINK("https://lsnyc.legalserver.org/matter/dynamic-profile/view/1914688","19-1914688")</f>
        <v>0</v>
      </c>
      <c r="B1158" t="s">
        <v>107</v>
      </c>
      <c r="C1158" t="s">
        <v>269</v>
      </c>
      <c r="E1158" t="s">
        <v>515</v>
      </c>
      <c r="F1158" t="s">
        <v>1965</v>
      </c>
      <c r="G1158" t="s">
        <v>2960</v>
      </c>
      <c r="H1158" t="s">
        <v>3416</v>
      </c>
      <c r="I1158" t="s">
        <v>3494</v>
      </c>
      <c r="J1158">
        <v>10301</v>
      </c>
      <c r="K1158" t="s">
        <v>3522</v>
      </c>
      <c r="L1158" t="s">
        <v>3525</v>
      </c>
      <c r="M1158" t="s">
        <v>4006</v>
      </c>
      <c r="N1158" t="s">
        <v>4109</v>
      </c>
      <c r="O1158" t="s">
        <v>4134</v>
      </c>
      <c r="Q1158" t="s">
        <v>4147</v>
      </c>
      <c r="R1158" t="s">
        <v>3523</v>
      </c>
      <c r="T1158" t="s">
        <v>4156</v>
      </c>
      <c r="V1158" t="s">
        <v>269</v>
      </c>
      <c r="W1158">
        <v>1747.09</v>
      </c>
      <c r="X1158" t="s">
        <v>4195</v>
      </c>
      <c r="Y1158" t="s">
        <v>4212</v>
      </c>
      <c r="Z1158" t="s">
        <v>5199</v>
      </c>
      <c r="AB1158" t="s">
        <v>6522</v>
      </c>
      <c r="AC1158">
        <v>100</v>
      </c>
      <c r="AD1158" t="s">
        <v>6772</v>
      </c>
      <c r="AE1158" t="s">
        <v>3526</v>
      </c>
      <c r="AF1158">
        <v>18</v>
      </c>
      <c r="AG1158">
        <v>1</v>
      </c>
      <c r="AH1158">
        <v>0</v>
      </c>
      <c r="AI1158">
        <v>189.43</v>
      </c>
      <c r="AL1158" t="s">
        <v>6801</v>
      </c>
      <c r="AM1158">
        <v>23660</v>
      </c>
    </row>
    <row r="1159" spans="1:44">
      <c r="A1159" s="1">
        <f>HYPERLINK("https://lsnyc.legalserver.org/matter/dynamic-profile/view/1913062","19-1913062")</f>
        <v>0</v>
      </c>
      <c r="B1159" t="s">
        <v>66</v>
      </c>
      <c r="C1159" t="s">
        <v>314</v>
      </c>
      <c r="E1159" t="s">
        <v>514</v>
      </c>
      <c r="F1159" t="s">
        <v>1777</v>
      </c>
      <c r="G1159" t="s">
        <v>2961</v>
      </c>
      <c r="H1159">
        <v>12</v>
      </c>
      <c r="I1159" t="s">
        <v>3490</v>
      </c>
      <c r="J1159">
        <v>11217</v>
      </c>
      <c r="K1159" t="s">
        <v>3522</v>
      </c>
      <c r="L1159" t="s">
        <v>3525</v>
      </c>
      <c r="M1159" t="s">
        <v>4007</v>
      </c>
      <c r="N1159" t="s">
        <v>4109</v>
      </c>
      <c r="O1159" t="s">
        <v>4134</v>
      </c>
      <c r="Q1159" t="s">
        <v>4147</v>
      </c>
      <c r="R1159" t="s">
        <v>3523</v>
      </c>
      <c r="T1159" t="s">
        <v>4156</v>
      </c>
      <c r="V1159" t="s">
        <v>314</v>
      </c>
      <c r="W1159">
        <v>740</v>
      </c>
      <c r="X1159" t="s">
        <v>4193</v>
      </c>
      <c r="Y1159" t="s">
        <v>4200</v>
      </c>
      <c r="Z1159" t="s">
        <v>4542</v>
      </c>
      <c r="AB1159" t="s">
        <v>6523</v>
      </c>
      <c r="AC1159">
        <v>12</v>
      </c>
      <c r="AD1159" t="s">
        <v>6780</v>
      </c>
      <c r="AF1159">
        <v>11</v>
      </c>
      <c r="AG1159">
        <v>1</v>
      </c>
      <c r="AH1159">
        <v>0</v>
      </c>
      <c r="AI1159">
        <v>191.35</v>
      </c>
      <c r="AL1159" t="s">
        <v>6801</v>
      </c>
      <c r="AM1159">
        <v>23900</v>
      </c>
    </row>
    <row r="1160" spans="1:44">
      <c r="A1160" s="1">
        <f>HYPERLINK("https://lsnyc.legalserver.org/matter/dynamic-profile/view/1909245","19-1909245")</f>
        <v>0</v>
      </c>
      <c r="B1160" t="s">
        <v>66</v>
      </c>
      <c r="C1160" t="s">
        <v>234</v>
      </c>
      <c r="E1160" t="s">
        <v>1020</v>
      </c>
      <c r="F1160" t="s">
        <v>1966</v>
      </c>
      <c r="G1160" t="s">
        <v>2870</v>
      </c>
      <c r="H1160" t="s">
        <v>3186</v>
      </c>
      <c r="I1160" t="s">
        <v>3490</v>
      </c>
      <c r="J1160">
        <v>11219</v>
      </c>
      <c r="K1160" t="s">
        <v>3522</v>
      </c>
      <c r="L1160" t="s">
        <v>3525</v>
      </c>
      <c r="O1160" t="s">
        <v>4134</v>
      </c>
      <c r="Q1160" t="s">
        <v>4147</v>
      </c>
      <c r="R1160" t="s">
        <v>3523</v>
      </c>
      <c r="T1160" t="s">
        <v>4156</v>
      </c>
      <c r="V1160" t="s">
        <v>234</v>
      </c>
      <c r="W1160">
        <v>1737.44</v>
      </c>
      <c r="X1160" t="s">
        <v>4193</v>
      </c>
      <c r="Z1160" t="s">
        <v>5200</v>
      </c>
      <c r="AB1160" t="s">
        <v>6524</v>
      </c>
      <c r="AC1160">
        <v>20</v>
      </c>
      <c r="AF1160">
        <v>8</v>
      </c>
      <c r="AG1160">
        <v>2</v>
      </c>
      <c r="AH1160">
        <v>1</v>
      </c>
      <c r="AI1160">
        <v>191.84</v>
      </c>
      <c r="AL1160" t="s">
        <v>6801</v>
      </c>
      <c r="AM1160">
        <v>40920</v>
      </c>
    </row>
    <row r="1161" spans="1:44">
      <c r="A1161" s="1">
        <f>HYPERLINK("https://lsnyc.legalserver.org/matter/dynamic-profile/view/1911517","19-1911517")</f>
        <v>0</v>
      </c>
      <c r="B1161" t="s">
        <v>117</v>
      </c>
      <c r="C1161" t="s">
        <v>215</v>
      </c>
      <c r="E1161" t="s">
        <v>473</v>
      </c>
      <c r="F1161" t="s">
        <v>1967</v>
      </c>
      <c r="G1161" t="s">
        <v>2962</v>
      </c>
      <c r="H1161" t="s">
        <v>3156</v>
      </c>
      <c r="I1161" t="s">
        <v>3479</v>
      </c>
      <c r="J1161">
        <v>11691</v>
      </c>
      <c r="K1161" t="s">
        <v>3522</v>
      </c>
      <c r="L1161" t="s">
        <v>3525</v>
      </c>
      <c r="M1161" t="s">
        <v>4008</v>
      </c>
      <c r="N1161" t="s">
        <v>4109</v>
      </c>
      <c r="O1161" t="s">
        <v>4134</v>
      </c>
      <c r="Q1161" t="s">
        <v>4147</v>
      </c>
      <c r="R1161" t="s">
        <v>3523</v>
      </c>
      <c r="T1161" t="s">
        <v>4156</v>
      </c>
      <c r="U1161" t="s">
        <v>4168</v>
      </c>
      <c r="V1161" t="s">
        <v>258</v>
      </c>
      <c r="W1161">
        <v>1556</v>
      </c>
      <c r="X1161" t="s">
        <v>4192</v>
      </c>
      <c r="Y1161" t="s">
        <v>4197</v>
      </c>
      <c r="Z1161" t="s">
        <v>5201</v>
      </c>
      <c r="AA1161" t="s">
        <v>5482</v>
      </c>
      <c r="AB1161" t="s">
        <v>6525</v>
      </c>
      <c r="AC1161">
        <v>24</v>
      </c>
      <c r="AD1161" t="s">
        <v>6772</v>
      </c>
      <c r="AE1161" t="s">
        <v>3526</v>
      </c>
      <c r="AF1161">
        <v>6</v>
      </c>
      <c r="AG1161">
        <v>1</v>
      </c>
      <c r="AH1161">
        <v>0</v>
      </c>
      <c r="AI1161">
        <v>192.15</v>
      </c>
      <c r="AL1161" t="s">
        <v>6801</v>
      </c>
      <c r="AM1161">
        <v>24000</v>
      </c>
    </row>
    <row r="1162" spans="1:44">
      <c r="A1162" s="1">
        <f>HYPERLINK("https://lsnyc.legalserver.org/matter/dynamic-profile/view/1909465","19-1909465")</f>
        <v>0</v>
      </c>
      <c r="B1162" t="s">
        <v>61</v>
      </c>
      <c r="C1162" t="s">
        <v>184</v>
      </c>
      <c r="D1162" t="s">
        <v>237</v>
      </c>
      <c r="E1162" t="s">
        <v>1105</v>
      </c>
      <c r="F1162" t="s">
        <v>1968</v>
      </c>
      <c r="G1162" t="s">
        <v>2963</v>
      </c>
      <c r="H1162" t="s">
        <v>3208</v>
      </c>
      <c r="I1162" t="s">
        <v>3490</v>
      </c>
      <c r="J1162">
        <v>11207</v>
      </c>
      <c r="K1162" t="s">
        <v>3522</v>
      </c>
      <c r="L1162" t="s">
        <v>3525</v>
      </c>
      <c r="M1162" t="s">
        <v>4009</v>
      </c>
      <c r="N1162" t="s">
        <v>4107</v>
      </c>
      <c r="O1162" t="s">
        <v>4132</v>
      </c>
      <c r="P1162" t="s">
        <v>4139</v>
      </c>
      <c r="Q1162" t="s">
        <v>4147</v>
      </c>
      <c r="R1162" t="s">
        <v>3523</v>
      </c>
      <c r="T1162" t="s">
        <v>4156</v>
      </c>
      <c r="U1162" t="s">
        <v>4168</v>
      </c>
      <c r="V1162" t="s">
        <v>380</v>
      </c>
      <c r="W1162">
        <v>0</v>
      </c>
      <c r="X1162" t="s">
        <v>4193</v>
      </c>
      <c r="Y1162" t="s">
        <v>4200</v>
      </c>
      <c r="Z1162" t="s">
        <v>5202</v>
      </c>
      <c r="AA1162" t="s">
        <v>3526</v>
      </c>
      <c r="AB1162" t="s">
        <v>6526</v>
      </c>
      <c r="AC1162">
        <v>3</v>
      </c>
      <c r="AD1162" t="s">
        <v>6771</v>
      </c>
      <c r="AE1162" t="s">
        <v>3526</v>
      </c>
      <c r="AF1162">
        <v>35</v>
      </c>
      <c r="AG1162">
        <v>1</v>
      </c>
      <c r="AH1162">
        <v>0</v>
      </c>
      <c r="AI1162">
        <v>192.15</v>
      </c>
      <c r="AL1162" t="s">
        <v>6801</v>
      </c>
      <c r="AM1162">
        <v>24000</v>
      </c>
    </row>
    <row r="1163" spans="1:44">
      <c r="A1163" s="1">
        <f>HYPERLINK("https://lsnyc.legalserver.org/matter/dynamic-profile/view/1908549","19-1908549")</f>
        <v>0</v>
      </c>
      <c r="B1163" t="s">
        <v>49</v>
      </c>
      <c r="C1163" t="s">
        <v>224</v>
      </c>
      <c r="E1163" t="s">
        <v>763</v>
      </c>
      <c r="F1163" t="s">
        <v>1969</v>
      </c>
      <c r="G1163" t="s">
        <v>2964</v>
      </c>
      <c r="H1163">
        <v>4</v>
      </c>
      <c r="I1163" t="s">
        <v>3491</v>
      </c>
      <c r="J1163">
        <v>11103</v>
      </c>
      <c r="K1163" t="s">
        <v>3522</v>
      </c>
      <c r="L1163" t="s">
        <v>3525</v>
      </c>
      <c r="N1163" t="s">
        <v>4113</v>
      </c>
      <c r="O1163" t="s">
        <v>4135</v>
      </c>
      <c r="Q1163" t="s">
        <v>4147</v>
      </c>
      <c r="R1163" t="s">
        <v>3523</v>
      </c>
      <c r="T1163" t="s">
        <v>4156</v>
      </c>
      <c r="U1163" t="s">
        <v>4168</v>
      </c>
      <c r="V1163" t="s">
        <v>360</v>
      </c>
      <c r="W1163">
        <v>630</v>
      </c>
      <c r="X1163" t="s">
        <v>4192</v>
      </c>
      <c r="Y1163" t="s">
        <v>4214</v>
      </c>
      <c r="Z1163" t="s">
        <v>5203</v>
      </c>
      <c r="AB1163" t="s">
        <v>6527</v>
      </c>
      <c r="AC1163">
        <v>25</v>
      </c>
      <c r="AD1163" t="s">
        <v>6772</v>
      </c>
      <c r="AE1163" t="s">
        <v>4200</v>
      </c>
      <c r="AF1163">
        <v>50</v>
      </c>
      <c r="AG1163">
        <v>1</v>
      </c>
      <c r="AH1163">
        <v>0</v>
      </c>
      <c r="AI1163">
        <v>192.15</v>
      </c>
      <c r="AL1163" t="s">
        <v>6801</v>
      </c>
      <c r="AM1163">
        <v>24000</v>
      </c>
    </row>
    <row r="1164" spans="1:44">
      <c r="A1164" s="1">
        <f>HYPERLINK("https://lsnyc.legalserver.org/matter/dynamic-profile/view/1915458","19-1915458")</f>
        <v>0</v>
      </c>
      <c r="B1164" t="s">
        <v>105</v>
      </c>
      <c r="C1164" t="s">
        <v>220</v>
      </c>
      <c r="D1164" t="s">
        <v>242</v>
      </c>
      <c r="E1164" t="s">
        <v>1106</v>
      </c>
      <c r="F1164" t="s">
        <v>1823</v>
      </c>
      <c r="G1164" t="s">
        <v>2965</v>
      </c>
      <c r="H1164" t="s">
        <v>3159</v>
      </c>
      <c r="I1164" t="s">
        <v>3494</v>
      </c>
      <c r="J1164">
        <v>10301</v>
      </c>
      <c r="K1164" t="s">
        <v>3522</v>
      </c>
      <c r="L1164" t="s">
        <v>3525</v>
      </c>
      <c r="M1164" t="s">
        <v>4010</v>
      </c>
      <c r="N1164" t="s">
        <v>4131</v>
      </c>
      <c r="O1164" t="s">
        <v>4132</v>
      </c>
      <c r="P1164" t="s">
        <v>4139</v>
      </c>
      <c r="Q1164" t="s">
        <v>4147</v>
      </c>
      <c r="R1164" t="s">
        <v>3523</v>
      </c>
      <c r="T1164" t="s">
        <v>4156</v>
      </c>
      <c r="U1164" t="s">
        <v>4172</v>
      </c>
      <c r="V1164" t="s">
        <v>220</v>
      </c>
      <c r="W1164">
        <v>1400</v>
      </c>
      <c r="X1164" t="s">
        <v>4195</v>
      </c>
      <c r="Z1164" t="s">
        <v>5204</v>
      </c>
      <c r="AB1164" t="s">
        <v>6528</v>
      </c>
      <c r="AC1164">
        <v>2</v>
      </c>
      <c r="AD1164" t="s">
        <v>6771</v>
      </c>
      <c r="AE1164" t="s">
        <v>3526</v>
      </c>
      <c r="AF1164">
        <v>2</v>
      </c>
      <c r="AG1164">
        <v>1</v>
      </c>
      <c r="AH1164">
        <v>0</v>
      </c>
      <c r="AI1164">
        <v>192.15</v>
      </c>
      <c r="AL1164" t="s">
        <v>6801</v>
      </c>
      <c r="AM1164">
        <v>24000</v>
      </c>
      <c r="AQ1164" t="s">
        <v>6947</v>
      </c>
      <c r="AR1164" t="s">
        <v>6978</v>
      </c>
    </row>
    <row r="1165" spans="1:44">
      <c r="A1165" s="1">
        <f>HYPERLINK("https://lsnyc.legalserver.org/matter/dynamic-profile/view/1909504","19-1909504")</f>
        <v>0</v>
      </c>
      <c r="B1165" t="s">
        <v>93</v>
      </c>
      <c r="C1165" t="s">
        <v>184</v>
      </c>
      <c r="E1165" t="s">
        <v>771</v>
      </c>
      <c r="F1165" t="s">
        <v>1970</v>
      </c>
      <c r="G1165" t="s">
        <v>2502</v>
      </c>
      <c r="H1165" t="s">
        <v>3148</v>
      </c>
      <c r="I1165" t="s">
        <v>3495</v>
      </c>
      <c r="J1165">
        <v>10040</v>
      </c>
      <c r="K1165" t="s">
        <v>3522</v>
      </c>
      <c r="L1165" t="s">
        <v>3525</v>
      </c>
      <c r="N1165" t="s">
        <v>4108</v>
      </c>
      <c r="O1165" t="s">
        <v>4134</v>
      </c>
      <c r="Q1165" t="s">
        <v>4147</v>
      </c>
      <c r="R1165" t="s">
        <v>3522</v>
      </c>
      <c r="T1165" t="s">
        <v>4156</v>
      </c>
      <c r="V1165" t="s">
        <v>184</v>
      </c>
      <c r="W1165">
        <v>0</v>
      </c>
      <c r="X1165" t="s">
        <v>4196</v>
      </c>
      <c r="Y1165" t="s">
        <v>4205</v>
      </c>
      <c r="Z1165" t="s">
        <v>5205</v>
      </c>
      <c r="AB1165" t="s">
        <v>6529</v>
      </c>
      <c r="AC1165">
        <v>77</v>
      </c>
      <c r="AD1165" t="s">
        <v>6772</v>
      </c>
      <c r="AE1165" t="s">
        <v>6790</v>
      </c>
      <c r="AF1165">
        <v>4</v>
      </c>
      <c r="AG1165">
        <v>1</v>
      </c>
      <c r="AH1165">
        <v>0</v>
      </c>
      <c r="AI1165">
        <v>192.15</v>
      </c>
      <c r="AL1165" t="s">
        <v>6801</v>
      </c>
      <c r="AM1165">
        <v>24000</v>
      </c>
    </row>
    <row r="1166" spans="1:44">
      <c r="A1166" s="1">
        <f>HYPERLINK("https://lsnyc.legalserver.org/matter/dynamic-profile/view/1904895","19-1904895")</f>
        <v>0</v>
      </c>
      <c r="B1166" t="s">
        <v>86</v>
      </c>
      <c r="C1166" t="s">
        <v>272</v>
      </c>
      <c r="D1166" t="s">
        <v>243</v>
      </c>
      <c r="E1166" t="s">
        <v>1107</v>
      </c>
      <c r="F1166" t="s">
        <v>1971</v>
      </c>
      <c r="G1166" t="s">
        <v>2966</v>
      </c>
      <c r="H1166" t="s">
        <v>3221</v>
      </c>
      <c r="I1166" t="s">
        <v>3495</v>
      </c>
      <c r="J1166">
        <v>10034</v>
      </c>
      <c r="K1166" t="s">
        <v>3522</v>
      </c>
      <c r="L1166" t="s">
        <v>3525</v>
      </c>
      <c r="O1166" t="s">
        <v>4133</v>
      </c>
      <c r="P1166" t="s">
        <v>4141</v>
      </c>
      <c r="Q1166" t="s">
        <v>4147</v>
      </c>
      <c r="R1166" t="s">
        <v>3523</v>
      </c>
      <c r="T1166" t="s">
        <v>4156</v>
      </c>
      <c r="V1166" t="s">
        <v>272</v>
      </c>
      <c r="W1166">
        <v>2350</v>
      </c>
      <c r="X1166" t="s">
        <v>4196</v>
      </c>
      <c r="Y1166" t="s">
        <v>4205</v>
      </c>
      <c r="Z1166" t="s">
        <v>5206</v>
      </c>
      <c r="AB1166" t="s">
        <v>6530</v>
      </c>
      <c r="AC1166">
        <v>41</v>
      </c>
      <c r="AD1166" t="s">
        <v>6771</v>
      </c>
      <c r="AE1166" t="s">
        <v>3526</v>
      </c>
      <c r="AF1166">
        <v>3</v>
      </c>
      <c r="AG1166">
        <v>1</v>
      </c>
      <c r="AH1166">
        <v>0</v>
      </c>
      <c r="AI1166">
        <v>192.15</v>
      </c>
      <c r="AL1166" t="s">
        <v>6801</v>
      </c>
      <c r="AM1166">
        <v>24000</v>
      </c>
    </row>
    <row r="1167" spans="1:44">
      <c r="A1167" s="1">
        <f>HYPERLINK("https://lsnyc.legalserver.org/matter/dynamic-profile/view/1905964","19-1905964")</f>
        <v>0</v>
      </c>
      <c r="B1167" t="s">
        <v>132</v>
      </c>
      <c r="C1167" t="s">
        <v>285</v>
      </c>
      <c r="D1167" t="s">
        <v>257</v>
      </c>
      <c r="E1167" t="s">
        <v>1088</v>
      </c>
      <c r="F1167" t="s">
        <v>1972</v>
      </c>
      <c r="G1167" t="s">
        <v>2967</v>
      </c>
      <c r="H1167" t="s">
        <v>3149</v>
      </c>
      <c r="I1167" t="s">
        <v>3495</v>
      </c>
      <c r="J1167">
        <v>10030</v>
      </c>
      <c r="K1167" t="s">
        <v>3522</v>
      </c>
      <c r="L1167" t="s">
        <v>3525</v>
      </c>
      <c r="M1167" t="s">
        <v>4011</v>
      </c>
      <c r="N1167" t="s">
        <v>4107</v>
      </c>
      <c r="O1167" t="s">
        <v>4132</v>
      </c>
      <c r="P1167" t="s">
        <v>4139</v>
      </c>
      <c r="Q1167" t="s">
        <v>4147</v>
      </c>
      <c r="R1167" t="s">
        <v>3523</v>
      </c>
      <c r="T1167" t="s">
        <v>4156</v>
      </c>
      <c r="V1167" t="s">
        <v>285</v>
      </c>
      <c r="W1167">
        <v>1130</v>
      </c>
      <c r="X1167" t="s">
        <v>4196</v>
      </c>
      <c r="Y1167" t="s">
        <v>4206</v>
      </c>
      <c r="Z1167" t="s">
        <v>5207</v>
      </c>
      <c r="AB1167" t="s">
        <v>6531</v>
      </c>
      <c r="AC1167">
        <v>17</v>
      </c>
      <c r="AD1167" t="s">
        <v>6772</v>
      </c>
      <c r="AE1167" t="s">
        <v>3526</v>
      </c>
      <c r="AF1167">
        <v>10</v>
      </c>
      <c r="AG1167">
        <v>1</v>
      </c>
      <c r="AH1167">
        <v>0</v>
      </c>
      <c r="AI1167">
        <v>192.15</v>
      </c>
      <c r="AL1167" t="s">
        <v>6801</v>
      </c>
      <c r="AM1167">
        <v>24000</v>
      </c>
    </row>
    <row r="1168" spans="1:44">
      <c r="A1168" s="1">
        <f>HYPERLINK("https://lsnyc.legalserver.org/matter/dynamic-profile/view/1879578","18-1879578")</f>
        <v>0</v>
      </c>
      <c r="B1168" t="s">
        <v>175</v>
      </c>
      <c r="C1168" t="s">
        <v>363</v>
      </c>
      <c r="D1168" t="s">
        <v>203</v>
      </c>
      <c r="E1168" t="s">
        <v>1108</v>
      </c>
      <c r="F1168" t="s">
        <v>987</v>
      </c>
      <c r="G1168" t="s">
        <v>2968</v>
      </c>
      <c r="H1168" t="s">
        <v>3170</v>
      </c>
      <c r="I1168" t="s">
        <v>3495</v>
      </c>
      <c r="J1168">
        <v>10009</v>
      </c>
      <c r="K1168" t="s">
        <v>3522</v>
      </c>
      <c r="L1168" t="s">
        <v>3525</v>
      </c>
      <c r="N1168" t="s">
        <v>3554</v>
      </c>
      <c r="O1168" t="s">
        <v>4132</v>
      </c>
      <c r="P1168" t="s">
        <v>4139</v>
      </c>
      <c r="Q1168" t="s">
        <v>4147</v>
      </c>
      <c r="R1168" t="s">
        <v>3523</v>
      </c>
      <c r="T1168" t="s">
        <v>4161</v>
      </c>
      <c r="V1168" t="s">
        <v>198</v>
      </c>
      <c r="W1168">
        <v>2264</v>
      </c>
      <c r="X1168" t="s">
        <v>4196</v>
      </c>
      <c r="Z1168" t="s">
        <v>5208</v>
      </c>
      <c r="AC1168">
        <v>0</v>
      </c>
      <c r="AF1168">
        <v>18</v>
      </c>
      <c r="AG1168">
        <v>4</v>
      </c>
      <c r="AH1168">
        <v>0</v>
      </c>
      <c r="AI1168">
        <v>192.67</v>
      </c>
      <c r="AL1168" t="s">
        <v>6802</v>
      </c>
      <c r="AM1168">
        <v>48360</v>
      </c>
    </row>
    <row r="1169" spans="1:44">
      <c r="A1169" s="1">
        <f>HYPERLINK("https://lsnyc.legalserver.org/matter/dynamic-profile/view/1911549","19-1911549")</f>
        <v>0</v>
      </c>
      <c r="B1169" t="s">
        <v>123</v>
      </c>
      <c r="C1169" t="s">
        <v>215</v>
      </c>
      <c r="E1169" t="s">
        <v>1109</v>
      </c>
      <c r="F1169" t="s">
        <v>1373</v>
      </c>
      <c r="G1169" t="s">
        <v>2454</v>
      </c>
      <c r="H1169" t="s">
        <v>3211</v>
      </c>
      <c r="I1169" t="s">
        <v>3495</v>
      </c>
      <c r="J1169">
        <v>10040</v>
      </c>
      <c r="K1169" t="s">
        <v>3522</v>
      </c>
      <c r="L1169" t="s">
        <v>3525</v>
      </c>
      <c r="N1169" t="s">
        <v>4115</v>
      </c>
      <c r="O1169" t="s">
        <v>4134</v>
      </c>
      <c r="Q1169" t="s">
        <v>4147</v>
      </c>
      <c r="R1169" t="s">
        <v>3522</v>
      </c>
      <c r="T1169" t="s">
        <v>4156</v>
      </c>
      <c r="V1169" t="s">
        <v>215</v>
      </c>
      <c r="W1169">
        <v>1600</v>
      </c>
      <c r="X1169" t="s">
        <v>4196</v>
      </c>
      <c r="Y1169" t="s">
        <v>4201</v>
      </c>
      <c r="Z1169" t="s">
        <v>5209</v>
      </c>
      <c r="AB1169" t="s">
        <v>6532</v>
      </c>
      <c r="AC1169">
        <v>44</v>
      </c>
      <c r="AD1169" t="s">
        <v>6772</v>
      </c>
      <c r="AE1169" t="s">
        <v>3526</v>
      </c>
      <c r="AF1169">
        <v>39</v>
      </c>
      <c r="AG1169">
        <v>4</v>
      </c>
      <c r="AH1169">
        <v>2</v>
      </c>
      <c r="AI1169">
        <v>193.7</v>
      </c>
      <c r="AL1169" t="s">
        <v>6801</v>
      </c>
      <c r="AM1169">
        <v>67000</v>
      </c>
    </row>
    <row r="1170" spans="1:44">
      <c r="A1170" s="1">
        <f>HYPERLINK("https://lsnyc.legalserver.org/matter/dynamic-profile/view/1911659","19-1911659")</f>
        <v>0</v>
      </c>
      <c r="B1170" t="s">
        <v>58</v>
      </c>
      <c r="C1170" t="s">
        <v>291</v>
      </c>
      <c r="E1170" t="s">
        <v>389</v>
      </c>
      <c r="F1170" t="s">
        <v>1479</v>
      </c>
      <c r="G1170" t="s">
        <v>2195</v>
      </c>
      <c r="I1170" t="s">
        <v>3490</v>
      </c>
      <c r="J1170">
        <v>11233</v>
      </c>
      <c r="K1170" t="s">
        <v>3522</v>
      </c>
      <c r="L1170" t="s">
        <v>3525</v>
      </c>
      <c r="M1170" t="s">
        <v>3554</v>
      </c>
      <c r="N1170" t="s">
        <v>3554</v>
      </c>
      <c r="O1170" t="s">
        <v>4135</v>
      </c>
      <c r="Q1170" t="s">
        <v>4147</v>
      </c>
      <c r="R1170" t="s">
        <v>3522</v>
      </c>
      <c r="T1170" t="s">
        <v>4156</v>
      </c>
      <c r="U1170" t="s">
        <v>4168</v>
      </c>
      <c r="V1170" t="s">
        <v>270</v>
      </c>
      <c r="W1170">
        <v>1029.4</v>
      </c>
      <c r="X1170" t="s">
        <v>4193</v>
      </c>
      <c r="Y1170" t="s">
        <v>4211</v>
      </c>
      <c r="Z1170" t="s">
        <v>5210</v>
      </c>
      <c r="AB1170" t="s">
        <v>6533</v>
      </c>
      <c r="AC1170">
        <v>359</v>
      </c>
      <c r="AD1170" t="s">
        <v>6772</v>
      </c>
      <c r="AE1170" t="s">
        <v>6791</v>
      </c>
      <c r="AF1170">
        <v>35</v>
      </c>
      <c r="AG1170">
        <v>1</v>
      </c>
      <c r="AH1170">
        <v>0</v>
      </c>
      <c r="AI1170">
        <v>194.56</v>
      </c>
      <c r="AL1170" t="s">
        <v>6801</v>
      </c>
      <c r="AM1170">
        <v>24300</v>
      </c>
    </row>
    <row r="1171" spans="1:44">
      <c r="A1171" s="1">
        <f>HYPERLINK("https://lsnyc.legalserver.org/matter/dynamic-profile/view/1905259","19-1905259")</f>
        <v>0</v>
      </c>
      <c r="B1171" t="s">
        <v>83</v>
      </c>
      <c r="C1171" t="s">
        <v>255</v>
      </c>
      <c r="D1171" t="s">
        <v>207</v>
      </c>
      <c r="E1171" t="s">
        <v>1110</v>
      </c>
      <c r="F1171" t="s">
        <v>1973</v>
      </c>
      <c r="G1171" t="s">
        <v>2969</v>
      </c>
      <c r="H1171" t="s">
        <v>3203</v>
      </c>
      <c r="I1171" t="s">
        <v>3493</v>
      </c>
      <c r="J1171">
        <v>10452</v>
      </c>
      <c r="K1171" t="s">
        <v>3522</v>
      </c>
      <c r="L1171" t="s">
        <v>3525</v>
      </c>
      <c r="N1171" t="s">
        <v>4116</v>
      </c>
      <c r="O1171" t="s">
        <v>4135</v>
      </c>
      <c r="P1171" t="s">
        <v>4142</v>
      </c>
      <c r="Q1171" t="s">
        <v>4147</v>
      </c>
      <c r="R1171" t="s">
        <v>3523</v>
      </c>
      <c r="T1171" t="s">
        <v>4156</v>
      </c>
      <c r="U1171" t="s">
        <v>4168</v>
      </c>
      <c r="V1171" t="s">
        <v>241</v>
      </c>
      <c r="W1171">
        <v>1085</v>
      </c>
      <c r="X1171" t="s">
        <v>4194</v>
      </c>
      <c r="Y1171" t="s">
        <v>4201</v>
      </c>
      <c r="Z1171" t="s">
        <v>4250</v>
      </c>
      <c r="AB1171" t="s">
        <v>6534</v>
      </c>
      <c r="AC1171">
        <v>39</v>
      </c>
      <c r="AD1171" t="s">
        <v>6772</v>
      </c>
      <c r="AE1171" t="s">
        <v>3526</v>
      </c>
      <c r="AF1171">
        <v>20</v>
      </c>
      <c r="AG1171">
        <v>1</v>
      </c>
      <c r="AH1171">
        <v>0</v>
      </c>
      <c r="AI1171">
        <v>195.11</v>
      </c>
      <c r="AL1171" t="s">
        <v>6801</v>
      </c>
      <c r="AM1171">
        <v>24369</v>
      </c>
    </row>
    <row r="1172" spans="1:44">
      <c r="A1172" s="1">
        <f>HYPERLINK("https://lsnyc.legalserver.org/matter/dynamic-profile/view/1906014","19-1906014")</f>
        <v>0</v>
      </c>
      <c r="B1172" t="s">
        <v>58</v>
      </c>
      <c r="C1172" t="s">
        <v>285</v>
      </c>
      <c r="E1172" t="s">
        <v>652</v>
      </c>
      <c r="F1172" t="s">
        <v>1615</v>
      </c>
      <c r="G1172" t="s">
        <v>2195</v>
      </c>
      <c r="H1172" t="s">
        <v>3417</v>
      </c>
      <c r="I1172" t="s">
        <v>3490</v>
      </c>
      <c r="J1172">
        <v>11233</v>
      </c>
      <c r="K1172" t="s">
        <v>3522</v>
      </c>
      <c r="L1172" t="s">
        <v>3526</v>
      </c>
      <c r="M1172" t="s">
        <v>3529</v>
      </c>
      <c r="N1172" t="s">
        <v>4112</v>
      </c>
      <c r="O1172" t="s">
        <v>4135</v>
      </c>
      <c r="Q1172" t="s">
        <v>4147</v>
      </c>
      <c r="R1172" t="s">
        <v>3523</v>
      </c>
      <c r="T1172" t="s">
        <v>4156</v>
      </c>
      <c r="U1172" t="s">
        <v>4168</v>
      </c>
      <c r="V1172" t="s">
        <v>285</v>
      </c>
      <c r="W1172">
        <v>1418</v>
      </c>
      <c r="X1172" t="s">
        <v>4193</v>
      </c>
      <c r="Z1172" t="s">
        <v>5211</v>
      </c>
      <c r="AA1172" t="s">
        <v>3562</v>
      </c>
      <c r="AC1172">
        <v>359</v>
      </c>
      <c r="AD1172" t="s">
        <v>6772</v>
      </c>
      <c r="AE1172" t="s">
        <v>3526</v>
      </c>
      <c r="AF1172">
        <v>18</v>
      </c>
      <c r="AG1172">
        <v>2</v>
      </c>
      <c r="AH1172">
        <v>0</v>
      </c>
      <c r="AI1172">
        <v>195.15</v>
      </c>
      <c r="AL1172" t="s">
        <v>6801</v>
      </c>
      <c r="AM1172">
        <v>33000</v>
      </c>
    </row>
    <row r="1173" spans="1:44">
      <c r="A1173" s="1">
        <f>HYPERLINK("https://lsnyc.legalserver.org/matter/dynamic-profile/view/1903879","19-1903879")</f>
        <v>0</v>
      </c>
      <c r="B1173" t="s">
        <v>146</v>
      </c>
      <c r="C1173" t="s">
        <v>259</v>
      </c>
      <c r="D1173" t="s">
        <v>177</v>
      </c>
      <c r="E1173" t="s">
        <v>645</v>
      </c>
      <c r="F1173" t="s">
        <v>1974</v>
      </c>
      <c r="G1173" t="s">
        <v>2970</v>
      </c>
      <c r="H1173" t="s">
        <v>3418</v>
      </c>
      <c r="I1173" t="s">
        <v>3490</v>
      </c>
      <c r="J1173">
        <v>11210</v>
      </c>
      <c r="K1173" t="s">
        <v>3522</v>
      </c>
      <c r="L1173" t="s">
        <v>3525</v>
      </c>
      <c r="N1173" t="s">
        <v>4112</v>
      </c>
      <c r="O1173" t="s">
        <v>4135</v>
      </c>
      <c r="P1173" t="s">
        <v>4142</v>
      </c>
      <c r="Q1173" t="s">
        <v>4147</v>
      </c>
      <c r="R1173" t="s">
        <v>3523</v>
      </c>
      <c r="T1173" t="s">
        <v>4156</v>
      </c>
      <c r="V1173" t="s">
        <v>259</v>
      </c>
      <c r="W1173">
        <v>0</v>
      </c>
      <c r="X1173" t="s">
        <v>4193</v>
      </c>
      <c r="Z1173" t="s">
        <v>5212</v>
      </c>
      <c r="AC1173">
        <v>38</v>
      </c>
      <c r="AF1173">
        <v>0</v>
      </c>
      <c r="AG1173">
        <v>5</v>
      </c>
      <c r="AH1173">
        <v>0</v>
      </c>
      <c r="AI1173">
        <v>195.56</v>
      </c>
      <c r="AL1173" t="s">
        <v>6801</v>
      </c>
      <c r="AM1173">
        <v>59000</v>
      </c>
    </row>
    <row r="1174" spans="1:44">
      <c r="A1174" s="1">
        <f>HYPERLINK("https://lsnyc.legalserver.org/matter/dynamic-profile/view/1915971","19-1915971")</f>
        <v>0</v>
      </c>
      <c r="B1174" t="s">
        <v>90</v>
      </c>
      <c r="C1174" t="s">
        <v>299</v>
      </c>
      <c r="E1174" t="s">
        <v>866</v>
      </c>
      <c r="F1174" t="s">
        <v>1516</v>
      </c>
      <c r="G1174" t="s">
        <v>2454</v>
      </c>
      <c r="H1174" t="s">
        <v>3143</v>
      </c>
      <c r="I1174" t="s">
        <v>3495</v>
      </c>
      <c r="J1174">
        <v>10040</v>
      </c>
      <c r="K1174" t="s">
        <v>3522</v>
      </c>
      <c r="L1174" t="s">
        <v>3525</v>
      </c>
      <c r="N1174" t="s">
        <v>4110</v>
      </c>
      <c r="O1174" t="s">
        <v>4137</v>
      </c>
      <c r="Q1174" t="s">
        <v>4147</v>
      </c>
      <c r="R1174" t="s">
        <v>3522</v>
      </c>
      <c r="T1174" t="s">
        <v>4156</v>
      </c>
      <c r="V1174" t="s">
        <v>299</v>
      </c>
      <c r="W1174">
        <v>1045.94</v>
      </c>
      <c r="X1174" t="s">
        <v>4196</v>
      </c>
      <c r="Y1174" t="s">
        <v>4201</v>
      </c>
      <c r="Z1174" t="s">
        <v>5213</v>
      </c>
      <c r="AB1174" t="s">
        <v>6535</v>
      </c>
      <c r="AC1174">
        <v>44</v>
      </c>
      <c r="AD1174" t="s">
        <v>6772</v>
      </c>
      <c r="AE1174" t="s">
        <v>3526</v>
      </c>
      <c r="AF1174">
        <v>38</v>
      </c>
      <c r="AG1174">
        <v>3</v>
      </c>
      <c r="AH1174">
        <v>0</v>
      </c>
      <c r="AI1174">
        <v>195.71</v>
      </c>
      <c r="AL1174" t="s">
        <v>6802</v>
      </c>
      <c r="AM1174">
        <v>41744</v>
      </c>
    </row>
    <row r="1175" spans="1:44">
      <c r="A1175" s="1">
        <f>HYPERLINK("https://lsnyc.legalserver.org/matter/dynamic-profile/view/1916027","19-1916027")</f>
        <v>0</v>
      </c>
      <c r="B1175" t="s">
        <v>90</v>
      </c>
      <c r="C1175" t="s">
        <v>299</v>
      </c>
      <c r="E1175" t="s">
        <v>866</v>
      </c>
      <c r="F1175" t="s">
        <v>1516</v>
      </c>
      <c r="G1175" t="s">
        <v>2454</v>
      </c>
      <c r="H1175" t="s">
        <v>3143</v>
      </c>
      <c r="I1175" t="s">
        <v>3495</v>
      </c>
      <c r="J1175">
        <v>10040</v>
      </c>
      <c r="K1175" t="s">
        <v>3522</v>
      </c>
      <c r="L1175" t="s">
        <v>3525</v>
      </c>
      <c r="O1175" t="s">
        <v>4134</v>
      </c>
      <c r="Q1175" t="s">
        <v>4147</v>
      </c>
      <c r="R1175" t="s">
        <v>3522</v>
      </c>
      <c r="T1175" t="s">
        <v>4156</v>
      </c>
      <c r="V1175" t="s">
        <v>299</v>
      </c>
      <c r="W1175">
        <v>1079.03</v>
      </c>
      <c r="X1175" t="s">
        <v>4196</v>
      </c>
      <c r="Y1175" t="s">
        <v>4201</v>
      </c>
      <c r="Z1175" t="s">
        <v>5213</v>
      </c>
      <c r="AB1175" t="s">
        <v>6535</v>
      </c>
      <c r="AC1175">
        <v>44</v>
      </c>
      <c r="AD1175" t="s">
        <v>6772</v>
      </c>
      <c r="AE1175" t="s">
        <v>3526</v>
      </c>
      <c r="AF1175">
        <v>38</v>
      </c>
      <c r="AG1175">
        <v>3</v>
      </c>
      <c r="AH1175">
        <v>0</v>
      </c>
      <c r="AI1175">
        <v>195.71</v>
      </c>
      <c r="AL1175" t="s">
        <v>6802</v>
      </c>
      <c r="AM1175">
        <v>41744</v>
      </c>
    </row>
    <row r="1176" spans="1:44">
      <c r="A1176" s="1">
        <f>HYPERLINK("https://lsnyc.legalserver.org/matter/dynamic-profile/view/1911885","19-1911885")</f>
        <v>0</v>
      </c>
      <c r="B1176" t="s">
        <v>47</v>
      </c>
      <c r="C1176" t="s">
        <v>190</v>
      </c>
      <c r="E1176" t="s">
        <v>1111</v>
      </c>
      <c r="F1176" t="s">
        <v>1975</v>
      </c>
      <c r="G1176" t="s">
        <v>2971</v>
      </c>
      <c r="H1176" t="s">
        <v>3419</v>
      </c>
      <c r="I1176" t="s">
        <v>3515</v>
      </c>
      <c r="J1176">
        <v>11694</v>
      </c>
      <c r="K1176" t="s">
        <v>3522</v>
      </c>
      <c r="L1176" t="s">
        <v>3525</v>
      </c>
      <c r="M1176" t="s">
        <v>4012</v>
      </c>
      <c r="N1176" t="s">
        <v>4109</v>
      </c>
      <c r="O1176" t="s">
        <v>4134</v>
      </c>
      <c r="Q1176" t="s">
        <v>4147</v>
      </c>
      <c r="R1176" t="s">
        <v>3523</v>
      </c>
      <c r="T1176" t="s">
        <v>4156</v>
      </c>
      <c r="U1176" t="s">
        <v>4168</v>
      </c>
      <c r="V1176" t="s">
        <v>332</v>
      </c>
      <c r="W1176">
        <v>1025</v>
      </c>
      <c r="X1176" t="s">
        <v>4192</v>
      </c>
      <c r="Y1176" t="s">
        <v>4197</v>
      </c>
      <c r="Z1176" t="s">
        <v>5214</v>
      </c>
      <c r="AB1176" t="s">
        <v>6536</v>
      </c>
      <c r="AC1176">
        <v>0</v>
      </c>
      <c r="AD1176" t="s">
        <v>5524</v>
      </c>
      <c r="AE1176" t="s">
        <v>3526</v>
      </c>
      <c r="AF1176">
        <v>16</v>
      </c>
      <c r="AG1176">
        <v>1</v>
      </c>
      <c r="AH1176">
        <v>0</v>
      </c>
      <c r="AI1176">
        <v>196.77</v>
      </c>
      <c r="AL1176" t="s">
        <v>6801</v>
      </c>
      <c r="AM1176">
        <v>24576</v>
      </c>
    </row>
    <row r="1177" spans="1:44">
      <c r="A1177" s="1">
        <f>HYPERLINK("https://lsnyc.legalserver.org/matter/dynamic-profile/view/1913235","19-1913235")</f>
        <v>0</v>
      </c>
      <c r="B1177" t="s">
        <v>55</v>
      </c>
      <c r="C1177" t="s">
        <v>359</v>
      </c>
      <c r="E1177" t="s">
        <v>1112</v>
      </c>
      <c r="F1177" t="s">
        <v>1976</v>
      </c>
      <c r="G1177" t="s">
        <v>2972</v>
      </c>
      <c r="H1177" t="s">
        <v>3175</v>
      </c>
      <c r="I1177" t="s">
        <v>3490</v>
      </c>
      <c r="J1177">
        <v>11239</v>
      </c>
      <c r="K1177" t="s">
        <v>3522</v>
      </c>
      <c r="L1177" t="s">
        <v>3525</v>
      </c>
      <c r="M1177" t="s">
        <v>4013</v>
      </c>
      <c r="N1177" t="s">
        <v>4109</v>
      </c>
      <c r="O1177" t="s">
        <v>4134</v>
      </c>
      <c r="Q1177" t="s">
        <v>4147</v>
      </c>
      <c r="R1177" t="s">
        <v>3523</v>
      </c>
      <c r="T1177" t="s">
        <v>4156</v>
      </c>
      <c r="U1177" t="s">
        <v>4168</v>
      </c>
      <c r="V1177" t="s">
        <v>192</v>
      </c>
      <c r="W1177">
        <v>1200</v>
      </c>
      <c r="X1177" t="s">
        <v>4193</v>
      </c>
      <c r="Y1177" t="s">
        <v>4203</v>
      </c>
      <c r="Z1177" t="s">
        <v>5215</v>
      </c>
      <c r="AA1177" t="s">
        <v>3562</v>
      </c>
      <c r="AB1177" t="s">
        <v>6537</v>
      </c>
      <c r="AC1177">
        <v>1092</v>
      </c>
      <c r="AD1177" t="s">
        <v>6778</v>
      </c>
      <c r="AE1177" t="s">
        <v>6786</v>
      </c>
      <c r="AF1177">
        <v>22</v>
      </c>
      <c r="AG1177">
        <v>2</v>
      </c>
      <c r="AH1177">
        <v>0</v>
      </c>
      <c r="AI1177">
        <v>198.7</v>
      </c>
      <c r="AL1177" t="s">
        <v>6801</v>
      </c>
      <c r="AM1177">
        <v>33600</v>
      </c>
    </row>
    <row r="1178" spans="1:44">
      <c r="A1178" s="1">
        <f>HYPERLINK("https://lsnyc.legalserver.org/matter/dynamic-profile/view/1912988","19-1912988")</f>
        <v>0</v>
      </c>
      <c r="B1178" t="s">
        <v>70</v>
      </c>
      <c r="C1178" t="s">
        <v>196</v>
      </c>
      <c r="E1178" t="s">
        <v>985</v>
      </c>
      <c r="F1178" t="s">
        <v>1393</v>
      </c>
      <c r="G1178" t="s">
        <v>2973</v>
      </c>
      <c r="H1178">
        <v>1</v>
      </c>
      <c r="I1178" t="s">
        <v>3490</v>
      </c>
      <c r="J1178">
        <v>11208</v>
      </c>
      <c r="K1178" t="s">
        <v>3522</v>
      </c>
      <c r="L1178" t="s">
        <v>3525</v>
      </c>
      <c r="M1178" t="s">
        <v>3553</v>
      </c>
      <c r="N1178" t="s">
        <v>3554</v>
      </c>
      <c r="O1178" t="s">
        <v>4132</v>
      </c>
      <c r="Q1178" t="s">
        <v>4147</v>
      </c>
      <c r="R1178" t="s">
        <v>3523</v>
      </c>
      <c r="T1178" t="s">
        <v>4159</v>
      </c>
      <c r="U1178" t="s">
        <v>4168</v>
      </c>
      <c r="V1178" t="s">
        <v>178</v>
      </c>
      <c r="W1178">
        <v>0</v>
      </c>
      <c r="X1178" t="s">
        <v>4193</v>
      </c>
      <c r="Z1178" t="s">
        <v>5216</v>
      </c>
      <c r="AA1178" t="s">
        <v>3526</v>
      </c>
      <c r="AB1178" t="s">
        <v>6538</v>
      </c>
      <c r="AC1178">
        <v>0</v>
      </c>
      <c r="AE1178" t="s">
        <v>3526</v>
      </c>
      <c r="AF1178">
        <v>0</v>
      </c>
      <c r="AG1178">
        <v>2</v>
      </c>
      <c r="AH1178">
        <v>0</v>
      </c>
      <c r="AI1178">
        <v>198.7</v>
      </c>
      <c r="AL1178" t="s">
        <v>6802</v>
      </c>
      <c r="AM1178">
        <v>33600</v>
      </c>
    </row>
    <row r="1179" spans="1:44">
      <c r="A1179" s="1">
        <f>HYPERLINK("https://lsnyc.legalserver.org/matter/dynamic-profile/view/1907847","19-1907847")</f>
        <v>0</v>
      </c>
      <c r="B1179" t="s">
        <v>126</v>
      </c>
      <c r="C1179" t="s">
        <v>298</v>
      </c>
      <c r="E1179" t="s">
        <v>940</v>
      </c>
      <c r="F1179" t="s">
        <v>1977</v>
      </c>
      <c r="G1179" t="s">
        <v>2974</v>
      </c>
      <c r="H1179" t="s">
        <v>3420</v>
      </c>
      <c r="I1179" t="s">
        <v>3493</v>
      </c>
      <c r="J1179">
        <v>10472</v>
      </c>
      <c r="K1179" t="s">
        <v>3522</v>
      </c>
      <c r="L1179" t="s">
        <v>3525</v>
      </c>
      <c r="N1179" t="s">
        <v>3554</v>
      </c>
      <c r="O1179" t="s">
        <v>4132</v>
      </c>
      <c r="Q1179" t="s">
        <v>4147</v>
      </c>
      <c r="R1179" t="s">
        <v>3523</v>
      </c>
      <c r="T1179" t="s">
        <v>4156</v>
      </c>
      <c r="V1179" t="s">
        <v>201</v>
      </c>
      <c r="W1179">
        <v>1908</v>
      </c>
      <c r="X1179" t="s">
        <v>4194</v>
      </c>
      <c r="Y1179" t="s">
        <v>4206</v>
      </c>
      <c r="Z1179" t="s">
        <v>5217</v>
      </c>
      <c r="AB1179" t="s">
        <v>6539</v>
      </c>
      <c r="AC1179">
        <v>60</v>
      </c>
      <c r="AD1179" t="s">
        <v>6772</v>
      </c>
      <c r="AE1179" t="s">
        <v>3526</v>
      </c>
      <c r="AF1179">
        <v>7</v>
      </c>
      <c r="AG1179">
        <v>2</v>
      </c>
      <c r="AH1179">
        <v>3</v>
      </c>
      <c r="AI1179">
        <v>198.87</v>
      </c>
      <c r="AL1179" t="s">
        <v>6801</v>
      </c>
      <c r="AM1179">
        <v>60000</v>
      </c>
    </row>
    <row r="1180" spans="1:44">
      <c r="A1180" s="1">
        <f>HYPERLINK("https://lsnyc.legalserver.org/matter/dynamic-profile/view/1909594","19-1909594")</f>
        <v>0</v>
      </c>
      <c r="B1180" t="s">
        <v>92</v>
      </c>
      <c r="C1180" t="s">
        <v>231</v>
      </c>
      <c r="D1180" t="s">
        <v>195</v>
      </c>
      <c r="E1180" t="s">
        <v>1113</v>
      </c>
      <c r="F1180" t="s">
        <v>1978</v>
      </c>
      <c r="G1180" t="s">
        <v>2975</v>
      </c>
      <c r="I1180" t="s">
        <v>3495</v>
      </c>
      <c r="J1180">
        <v>10032</v>
      </c>
      <c r="K1180" t="s">
        <v>3522</v>
      </c>
      <c r="L1180" t="s">
        <v>3525</v>
      </c>
      <c r="N1180" t="s">
        <v>4113</v>
      </c>
      <c r="O1180" t="s">
        <v>4132</v>
      </c>
      <c r="P1180" t="s">
        <v>4139</v>
      </c>
      <c r="Q1180" t="s">
        <v>4147</v>
      </c>
      <c r="R1180" t="s">
        <v>3523</v>
      </c>
      <c r="T1180" t="s">
        <v>4156</v>
      </c>
      <c r="U1180" t="s">
        <v>4168</v>
      </c>
      <c r="V1180" t="s">
        <v>231</v>
      </c>
      <c r="W1180">
        <v>1285</v>
      </c>
      <c r="X1180" t="s">
        <v>4196</v>
      </c>
      <c r="Y1180" t="s">
        <v>4204</v>
      </c>
      <c r="Z1180" t="s">
        <v>5218</v>
      </c>
      <c r="AB1180" t="s">
        <v>6540</v>
      </c>
      <c r="AC1180">
        <v>4</v>
      </c>
      <c r="AD1180" t="s">
        <v>6772</v>
      </c>
      <c r="AE1180" t="s">
        <v>6786</v>
      </c>
      <c r="AF1180">
        <v>3</v>
      </c>
      <c r="AG1180">
        <v>2</v>
      </c>
      <c r="AH1180">
        <v>0</v>
      </c>
      <c r="AI1180">
        <v>199.27</v>
      </c>
      <c r="AL1180" t="s">
        <v>6802</v>
      </c>
      <c r="AM1180">
        <v>33696</v>
      </c>
    </row>
    <row r="1181" spans="1:44">
      <c r="A1181" s="1">
        <f>HYPERLINK("https://lsnyc.legalserver.org/matter/dynamic-profile/view/1910075","19-1910075")</f>
        <v>0</v>
      </c>
      <c r="B1181" t="s">
        <v>81</v>
      </c>
      <c r="C1181" t="s">
        <v>230</v>
      </c>
      <c r="E1181" t="s">
        <v>586</v>
      </c>
      <c r="F1181" t="s">
        <v>1979</v>
      </c>
      <c r="G1181" t="s">
        <v>2976</v>
      </c>
      <c r="H1181" t="s">
        <v>3421</v>
      </c>
      <c r="I1181" t="s">
        <v>3493</v>
      </c>
      <c r="J1181">
        <v>10451</v>
      </c>
      <c r="K1181" t="s">
        <v>3522</v>
      </c>
      <c r="L1181" t="s">
        <v>3525</v>
      </c>
      <c r="N1181" t="s">
        <v>3554</v>
      </c>
      <c r="O1181" t="s">
        <v>4132</v>
      </c>
      <c r="Q1181" t="s">
        <v>4147</v>
      </c>
      <c r="R1181" t="s">
        <v>3523</v>
      </c>
      <c r="T1181" t="s">
        <v>4156</v>
      </c>
      <c r="V1181" t="s">
        <v>301</v>
      </c>
      <c r="W1181">
        <v>0</v>
      </c>
      <c r="X1181" t="s">
        <v>4194</v>
      </c>
      <c r="Y1181" t="s">
        <v>4206</v>
      </c>
      <c r="Z1181" t="s">
        <v>5219</v>
      </c>
      <c r="AB1181" t="s">
        <v>6541</v>
      </c>
      <c r="AC1181">
        <v>0</v>
      </c>
      <c r="AF1181">
        <v>0</v>
      </c>
      <c r="AG1181">
        <v>1</v>
      </c>
      <c r="AH1181">
        <v>0</v>
      </c>
      <c r="AI1181">
        <v>199.36</v>
      </c>
      <c r="AM1181">
        <v>24900</v>
      </c>
    </row>
    <row r="1182" spans="1:44">
      <c r="A1182" s="1">
        <f>HYPERLINK("https://lsnyc.legalserver.org/matter/dynamic-profile/view/1891669","19-1891669")</f>
        <v>0</v>
      </c>
      <c r="B1182" t="s">
        <v>47</v>
      </c>
      <c r="C1182" t="s">
        <v>364</v>
      </c>
      <c r="E1182" t="s">
        <v>1114</v>
      </c>
      <c r="F1182" t="s">
        <v>1268</v>
      </c>
      <c r="G1182" t="s">
        <v>2977</v>
      </c>
      <c r="H1182">
        <v>1</v>
      </c>
      <c r="I1182" t="s">
        <v>3479</v>
      </c>
      <c r="J1182">
        <v>11691</v>
      </c>
      <c r="K1182" t="s">
        <v>3522</v>
      </c>
      <c r="L1182" t="s">
        <v>3525</v>
      </c>
      <c r="M1182" t="s">
        <v>4014</v>
      </c>
      <c r="N1182" t="s">
        <v>4107</v>
      </c>
      <c r="O1182" t="s">
        <v>4134</v>
      </c>
      <c r="Q1182" t="s">
        <v>4147</v>
      </c>
      <c r="R1182" t="s">
        <v>3523</v>
      </c>
      <c r="T1182" t="s">
        <v>4156</v>
      </c>
      <c r="U1182" t="s">
        <v>4168</v>
      </c>
      <c r="V1182" t="s">
        <v>4186</v>
      </c>
      <c r="W1182">
        <v>1475</v>
      </c>
      <c r="X1182" t="s">
        <v>4192</v>
      </c>
      <c r="Y1182" t="s">
        <v>4214</v>
      </c>
      <c r="Z1182" t="s">
        <v>5220</v>
      </c>
      <c r="AA1182" t="s">
        <v>5482</v>
      </c>
      <c r="AB1182" t="s">
        <v>6542</v>
      </c>
      <c r="AC1182">
        <v>3</v>
      </c>
      <c r="AD1182" t="s">
        <v>6772</v>
      </c>
      <c r="AE1182" t="s">
        <v>6786</v>
      </c>
      <c r="AF1182">
        <v>9</v>
      </c>
      <c r="AG1182">
        <v>1</v>
      </c>
      <c r="AH1182">
        <v>0</v>
      </c>
      <c r="AI1182">
        <v>199.84</v>
      </c>
      <c r="AL1182" t="s">
        <v>6801</v>
      </c>
      <c r="AM1182">
        <v>24960</v>
      </c>
      <c r="AP1182" t="s">
        <v>4200</v>
      </c>
    </row>
    <row r="1183" spans="1:44">
      <c r="A1183" s="1">
        <f>HYPERLINK("https://lsnyc.legalserver.org/matter/dynamic-profile/view/1905194","19-1905194")</f>
        <v>0</v>
      </c>
      <c r="B1183" t="s">
        <v>68</v>
      </c>
      <c r="C1183" t="s">
        <v>255</v>
      </c>
      <c r="D1183" t="s">
        <v>324</v>
      </c>
      <c r="E1183" t="s">
        <v>1115</v>
      </c>
      <c r="F1183" t="s">
        <v>1980</v>
      </c>
      <c r="G1183" t="s">
        <v>2978</v>
      </c>
      <c r="H1183">
        <v>3</v>
      </c>
      <c r="I1183" t="s">
        <v>3490</v>
      </c>
      <c r="J1183">
        <v>11233</v>
      </c>
      <c r="K1183" t="s">
        <v>3522</v>
      </c>
      <c r="L1183" t="s">
        <v>3525</v>
      </c>
      <c r="M1183" t="s">
        <v>4015</v>
      </c>
      <c r="N1183" t="s">
        <v>4107</v>
      </c>
      <c r="O1183" t="s">
        <v>4135</v>
      </c>
      <c r="P1183" t="s">
        <v>4142</v>
      </c>
      <c r="Q1183" t="s">
        <v>4147</v>
      </c>
      <c r="R1183" t="s">
        <v>3523</v>
      </c>
      <c r="T1183" t="s">
        <v>4156</v>
      </c>
      <c r="U1183" t="s">
        <v>4168</v>
      </c>
      <c r="V1183" t="s">
        <v>241</v>
      </c>
      <c r="W1183">
        <v>870</v>
      </c>
      <c r="X1183" t="s">
        <v>4193</v>
      </c>
      <c r="Y1183" t="s">
        <v>4200</v>
      </c>
      <c r="Z1183" t="s">
        <v>5221</v>
      </c>
      <c r="AB1183" t="s">
        <v>6543</v>
      </c>
      <c r="AC1183">
        <v>3</v>
      </c>
      <c r="AD1183" t="s">
        <v>6771</v>
      </c>
      <c r="AE1183" t="s">
        <v>3526</v>
      </c>
      <c r="AF1183">
        <v>1</v>
      </c>
      <c r="AG1183">
        <v>1</v>
      </c>
      <c r="AH1183">
        <v>0</v>
      </c>
      <c r="AI1183">
        <v>199.84</v>
      </c>
      <c r="AL1183" t="s">
        <v>6801</v>
      </c>
      <c r="AM1183">
        <v>24960</v>
      </c>
      <c r="AO1183" t="s">
        <v>6915</v>
      </c>
      <c r="AP1183" t="s">
        <v>6931</v>
      </c>
      <c r="AQ1183" t="s">
        <v>6946</v>
      </c>
      <c r="AR1183" t="s">
        <v>7011</v>
      </c>
    </row>
    <row r="1184" spans="1:44">
      <c r="A1184" s="1">
        <f>HYPERLINK("https://lsnyc.legalserver.org/matter/dynamic-profile/view/1913059","19-1913059")</f>
        <v>0</v>
      </c>
      <c r="B1184" t="s">
        <v>97</v>
      </c>
      <c r="C1184" t="s">
        <v>314</v>
      </c>
      <c r="E1184" t="s">
        <v>682</v>
      </c>
      <c r="F1184" t="s">
        <v>1404</v>
      </c>
      <c r="G1184" t="s">
        <v>2979</v>
      </c>
      <c r="H1184" t="s">
        <v>3221</v>
      </c>
      <c r="I1184" t="s">
        <v>3490</v>
      </c>
      <c r="J1184">
        <v>11206</v>
      </c>
      <c r="K1184" t="s">
        <v>3522</v>
      </c>
      <c r="L1184" t="s">
        <v>3525</v>
      </c>
      <c r="M1184" t="s">
        <v>3562</v>
      </c>
      <c r="N1184" t="s">
        <v>4112</v>
      </c>
      <c r="O1184" t="s">
        <v>4135</v>
      </c>
      <c r="Q1184" t="s">
        <v>4147</v>
      </c>
      <c r="R1184" t="s">
        <v>3522</v>
      </c>
      <c r="T1184" t="s">
        <v>4156</v>
      </c>
      <c r="U1184" t="s">
        <v>4168</v>
      </c>
      <c r="V1184" t="s">
        <v>237</v>
      </c>
      <c r="W1184">
        <v>1200</v>
      </c>
      <c r="X1184" t="s">
        <v>4193</v>
      </c>
      <c r="Y1184" t="s">
        <v>4206</v>
      </c>
      <c r="Z1184" t="s">
        <v>5222</v>
      </c>
      <c r="AA1184" t="s">
        <v>3562</v>
      </c>
      <c r="AB1184" t="s">
        <v>6544</v>
      </c>
      <c r="AC1184">
        <v>16</v>
      </c>
      <c r="AD1184" t="s">
        <v>6772</v>
      </c>
      <c r="AE1184" t="s">
        <v>3526</v>
      </c>
      <c r="AF1184">
        <v>8</v>
      </c>
      <c r="AG1184">
        <v>1</v>
      </c>
      <c r="AH1184">
        <v>0</v>
      </c>
      <c r="AI1184">
        <v>199.84</v>
      </c>
      <c r="AL1184" t="s">
        <v>6801</v>
      </c>
      <c r="AM1184">
        <v>24960</v>
      </c>
    </row>
    <row r="1185" spans="1:44">
      <c r="A1185" s="1">
        <f>HYPERLINK("https://lsnyc.legalserver.org/matter/dynamic-profile/view/1903502","19-1903502")</f>
        <v>0</v>
      </c>
      <c r="B1185" t="s">
        <v>79</v>
      </c>
      <c r="C1185" t="s">
        <v>323</v>
      </c>
      <c r="E1185" t="s">
        <v>891</v>
      </c>
      <c r="F1185" t="s">
        <v>1480</v>
      </c>
      <c r="G1185" t="s">
        <v>2980</v>
      </c>
      <c r="H1185" t="s">
        <v>3335</v>
      </c>
      <c r="I1185" t="s">
        <v>3493</v>
      </c>
      <c r="J1185">
        <v>10453</v>
      </c>
      <c r="K1185" t="s">
        <v>3522</v>
      </c>
      <c r="L1185" t="s">
        <v>3525</v>
      </c>
      <c r="M1185" t="s">
        <v>4016</v>
      </c>
      <c r="N1185" t="s">
        <v>4107</v>
      </c>
      <c r="O1185" t="s">
        <v>4134</v>
      </c>
      <c r="Q1185" t="s">
        <v>4147</v>
      </c>
      <c r="R1185" t="s">
        <v>3523</v>
      </c>
      <c r="T1185" t="s">
        <v>4156</v>
      </c>
      <c r="U1185" t="s">
        <v>4168</v>
      </c>
      <c r="V1185" t="s">
        <v>241</v>
      </c>
      <c r="W1185">
        <v>825</v>
      </c>
      <c r="X1185" t="s">
        <v>4194</v>
      </c>
      <c r="Y1185" t="s">
        <v>4200</v>
      </c>
      <c r="Z1185" t="s">
        <v>5223</v>
      </c>
      <c r="AB1185" t="s">
        <v>6545</v>
      </c>
      <c r="AC1185">
        <v>25</v>
      </c>
      <c r="AD1185" t="s">
        <v>6772</v>
      </c>
      <c r="AE1185" t="s">
        <v>3526</v>
      </c>
      <c r="AF1185">
        <v>19</v>
      </c>
      <c r="AG1185">
        <v>1</v>
      </c>
      <c r="AH1185">
        <v>0</v>
      </c>
      <c r="AI1185">
        <v>199.84</v>
      </c>
      <c r="AL1185" t="s">
        <v>6801</v>
      </c>
      <c r="AM1185">
        <v>24960</v>
      </c>
    </row>
    <row r="1186" spans="1:44">
      <c r="A1186" s="1">
        <f>HYPERLINK("https://lsnyc.legalserver.org/matter/dynamic-profile/view/1908034","19-1908034")</f>
        <v>0</v>
      </c>
      <c r="B1186" t="s">
        <v>168</v>
      </c>
      <c r="C1186" t="s">
        <v>262</v>
      </c>
      <c r="D1186" t="s">
        <v>220</v>
      </c>
      <c r="E1186" t="s">
        <v>507</v>
      </c>
      <c r="F1186" t="s">
        <v>1521</v>
      </c>
      <c r="G1186" t="s">
        <v>2981</v>
      </c>
      <c r="H1186" t="s">
        <v>3343</v>
      </c>
      <c r="I1186" t="s">
        <v>3495</v>
      </c>
      <c r="J1186">
        <v>10034</v>
      </c>
      <c r="K1186" t="s">
        <v>3522</v>
      </c>
      <c r="L1186" t="s">
        <v>3525</v>
      </c>
      <c r="M1186" t="s">
        <v>4017</v>
      </c>
      <c r="N1186" t="s">
        <v>4107</v>
      </c>
      <c r="O1186" t="s">
        <v>4132</v>
      </c>
      <c r="P1186" t="s">
        <v>4139</v>
      </c>
      <c r="Q1186" t="s">
        <v>4147</v>
      </c>
      <c r="R1186" t="s">
        <v>3523</v>
      </c>
      <c r="T1186" t="s">
        <v>4156</v>
      </c>
      <c r="V1186" t="s">
        <v>262</v>
      </c>
      <c r="W1186">
        <v>1000</v>
      </c>
      <c r="X1186" t="s">
        <v>4196</v>
      </c>
      <c r="Y1186" t="s">
        <v>4197</v>
      </c>
      <c r="Z1186" t="s">
        <v>5224</v>
      </c>
      <c r="AB1186" t="s">
        <v>6546</v>
      </c>
      <c r="AC1186">
        <v>70</v>
      </c>
      <c r="AD1186" t="s">
        <v>6772</v>
      </c>
      <c r="AE1186" t="s">
        <v>3526</v>
      </c>
      <c r="AF1186">
        <v>8</v>
      </c>
      <c r="AG1186">
        <v>5</v>
      </c>
      <c r="AH1186">
        <v>0</v>
      </c>
      <c r="AI1186">
        <v>199.93</v>
      </c>
      <c r="AL1186" t="s">
        <v>6802</v>
      </c>
      <c r="AM1186">
        <v>60320</v>
      </c>
    </row>
    <row r="1187" spans="1:44">
      <c r="A1187" s="1">
        <f>HYPERLINK("https://lsnyc.legalserver.org/matter/dynamic-profile/view/1916742","19-1916742")</f>
        <v>0</v>
      </c>
      <c r="B1187" t="s">
        <v>55</v>
      </c>
      <c r="C1187" t="s">
        <v>195</v>
      </c>
      <c r="E1187" t="s">
        <v>1116</v>
      </c>
      <c r="F1187" t="s">
        <v>1981</v>
      </c>
      <c r="G1187" t="s">
        <v>2195</v>
      </c>
      <c r="H1187" t="s">
        <v>3422</v>
      </c>
      <c r="I1187" t="s">
        <v>3490</v>
      </c>
      <c r="J1187">
        <v>11233</v>
      </c>
      <c r="K1187" t="s">
        <v>3522</v>
      </c>
      <c r="L1187" t="s">
        <v>3525</v>
      </c>
      <c r="M1187" t="s">
        <v>4018</v>
      </c>
      <c r="N1187" t="s">
        <v>4109</v>
      </c>
      <c r="Q1187" t="s">
        <v>4147</v>
      </c>
      <c r="R1187" t="s">
        <v>3523</v>
      </c>
      <c r="T1187" t="s">
        <v>4156</v>
      </c>
      <c r="V1187" t="s">
        <v>195</v>
      </c>
      <c r="W1187">
        <v>944.87</v>
      </c>
      <c r="X1187" t="s">
        <v>4193</v>
      </c>
      <c r="Y1187" t="s">
        <v>4205</v>
      </c>
      <c r="Z1187" t="s">
        <v>5225</v>
      </c>
      <c r="AA1187" t="s">
        <v>3526</v>
      </c>
      <c r="AC1187">
        <v>359</v>
      </c>
      <c r="AD1187" t="s">
        <v>6772</v>
      </c>
      <c r="AE1187" t="s">
        <v>3526</v>
      </c>
      <c r="AF1187">
        <v>0</v>
      </c>
      <c r="AG1187">
        <v>1</v>
      </c>
      <c r="AH1187">
        <v>0</v>
      </c>
      <c r="AI1187">
        <v>200.16</v>
      </c>
      <c r="AL1187" t="s">
        <v>6801</v>
      </c>
      <c r="AM1187">
        <v>25000</v>
      </c>
    </row>
    <row r="1188" spans="1:44">
      <c r="A1188" s="1">
        <f>HYPERLINK("https://lsnyc.legalserver.org/matter/dynamic-profile/view/1909942","19-1909942")</f>
        <v>0</v>
      </c>
      <c r="B1188" t="s">
        <v>85</v>
      </c>
      <c r="C1188" t="s">
        <v>201</v>
      </c>
      <c r="E1188" t="s">
        <v>1117</v>
      </c>
      <c r="F1188" t="s">
        <v>1982</v>
      </c>
      <c r="G1188" t="s">
        <v>2982</v>
      </c>
      <c r="I1188" t="s">
        <v>3494</v>
      </c>
      <c r="J1188">
        <v>10310</v>
      </c>
      <c r="K1188" t="s">
        <v>3522</v>
      </c>
      <c r="L1188" t="s">
        <v>3525</v>
      </c>
      <c r="N1188" t="s">
        <v>3554</v>
      </c>
      <c r="O1188" t="s">
        <v>4132</v>
      </c>
      <c r="Q1188" t="s">
        <v>4148</v>
      </c>
      <c r="R1188" t="s">
        <v>3523</v>
      </c>
      <c r="T1188" t="s">
        <v>4156</v>
      </c>
      <c r="U1188" t="s">
        <v>4168</v>
      </c>
      <c r="V1188" t="s">
        <v>341</v>
      </c>
      <c r="W1188">
        <v>1500</v>
      </c>
      <c r="X1188" t="s">
        <v>4195</v>
      </c>
      <c r="Y1188" t="s">
        <v>4199</v>
      </c>
      <c r="Z1188" t="s">
        <v>5226</v>
      </c>
      <c r="AB1188" t="s">
        <v>6547</v>
      </c>
      <c r="AC1188">
        <v>2</v>
      </c>
      <c r="AD1188" t="s">
        <v>6771</v>
      </c>
      <c r="AE1188" t="s">
        <v>6788</v>
      </c>
      <c r="AF1188">
        <v>0</v>
      </c>
      <c r="AG1188">
        <v>1</v>
      </c>
      <c r="AH1188">
        <v>0</v>
      </c>
      <c r="AI1188">
        <v>200.16</v>
      </c>
      <c r="AJ1188" t="s">
        <v>6795</v>
      </c>
      <c r="AK1188" t="s">
        <v>6798</v>
      </c>
      <c r="AL1188" t="s">
        <v>6801</v>
      </c>
      <c r="AM1188">
        <v>25000</v>
      </c>
      <c r="AP1188" t="s">
        <v>4200</v>
      </c>
      <c r="AR1188" t="s">
        <v>6962</v>
      </c>
    </row>
    <row r="1189" spans="1:44">
      <c r="A1189" s="1">
        <f>HYPERLINK("https://lsnyc.legalserver.org/matter/dynamic-profile/view/1905662","19-1905662")</f>
        <v>0</v>
      </c>
      <c r="B1189" t="s">
        <v>107</v>
      </c>
      <c r="C1189" t="s">
        <v>222</v>
      </c>
      <c r="D1189" t="s">
        <v>253</v>
      </c>
      <c r="E1189" t="s">
        <v>1118</v>
      </c>
      <c r="F1189" t="s">
        <v>1983</v>
      </c>
      <c r="G1189" t="s">
        <v>2983</v>
      </c>
      <c r="H1189" t="s">
        <v>3423</v>
      </c>
      <c r="I1189" t="s">
        <v>3494</v>
      </c>
      <c r="J1189">
        <v>10304</v>
      </c>
      <c r="K1189" t="s">
        <v>3522</v>
      </c>
      <c r="L1189" t="s">
        <v>3525</v>
      </c>
      <c r="M1189" t="s">
        <v>4019</v>
      </c>
      <c r="N1189" t="s">
        <v>4109</v>
      </c>
      <c r="O1189" t="s">
        <v>4134</v>
      </c>
      <c r="P1189" t="s">
        <v>4140</v>
      </c>
      <c r="Q1189" t="s">
        <v>4147</v>
      </c>
      <c r="R1189" t="s">
        <v>3523</v>
      </c>
      <c r="T1189" t="s">
        <v>4156</v>
      </c>
      <c r="U1189" t="s">
        <v>4168</v>
      </c>
      <c r="V1189" t="s">
        <v>250</v>
      </c>
      <c r="W1189">
        <v>583</v>
      </c>
      <c r="X1189" t="s">
        <v>4195</v>
      </c>
      <c r="Y1189" t="s">
        <v>4203</v>
      </c>
      <c r="Z1189" t="s">
        <v>5227</v>
      </c>
      <c r="AB1189" t="s">
        <v>6548</v>
      </c>
      <c r="AC1189">
        <v>134</v>
      </c>
      <c r="AD1189" t="s">
        <v>6778</v>
      </c>
      <c r="AE1189" t="s">
        <v>3526</v>
      </c>
      <c r="AF1189">
        <v>4</v>
      </c>
      <c r="AG1189">
        <v>1</v>
      </c>
      <c r="AH1189">
        <v>0</v>
      </c>
      <c r="AI1189">
        <v>200.16</v>
      </c>
      <c r="AL1189" t="s">
        <v>6801</v>
      </c>
      <c r="AM1189">
        <v>25000</v>
      </c>
      <c r="AO1189" t="s">
        <v>6921</v>
      </c>
      <c r="AP1189" t="s">
        <v>6924</v>
      </c>
      <c r="AQ1189" t="s">
        <v>6945</v>
      </c>
      <c r="AR1189" t="s">
        <v>7012</v>
      </c>
    </row>
    <row r="1190" spans="1:44">
      <c r="A1190" s="1">
        <f>HYPERLINK("https://lsnyc.legalserver.org/matter/dynamic-profile/view/1909441","19-1909441")</f>
        <v>0</v>
      </c>
      <c r="B1190" t="s">
        <v>120</v>
      </c>
      <c r="C1190" t="s">
        <v>247</v>
      </c>
      <c r="D1190" t="s">
        <v>291</v>
      </c>
      <c r="E1190" t="s">
        <v>1119</v>
      </c>
      <c r="F1190" t="s">
        <v>1984</v>
      </c>
      <c r="G1190" t="s">
        <v>2984</v>
      </c>
      <c r="H1190">
        <v>2</v>
      </c>
      <c r="I1190" t="s">
        <v>3494</v>
      </c>
      <c r="J1190">
        <v>10306</v>
      </c>
      <c r="K1190" t="s">
        <v>3522</v>
      </c>
      <c r="L1190" t="s">
        <v>3525</v>
      </c>
      <c r="M1190" t="s">
        <v>3529</v>
      </c>
      <c r="N1190" t="s">
        <v>3554</v>
      </c>
      <c r="O1190" t="s">
        <v>4132</v>
      </c>
      <c r="P1190" t="s">
        <v>4139</v>
      </c>
      <c r="Q1190" t="s">
        <v>4148</v>
      </c>
      <c r="R1190" t="s">
        <v>3523</v>
      </c>
      <c r="T1190" t="s">
        <v>4156</v>
      </c>
      <c r="U1190" t="s">
        <v>4168</v>
      </c>
      <c r="V1190" t="s">
        <v>247</v>
      </c>
      <c r="W1190">
        <v>0</v>
      </c>
      <c r="X1190" t="s">
        <v>4195</v>
      </c>
      <c r="Y1190" t="s">
        <v>4199</v>
      </c>
      <c r="Z1190" t="s">
        <v>5228</v>
      </c>
      <c r="AB1190" t="s">
        <v>6549</v>
      </c>
      <c r="AC1190">
        <v>20</v>
      </c>
      <c r="AD1190" t="s">
        <v>6771</v>
      </c>
      <c r="AE1190" t="s">
        <v>3526</v>
      </c>
      <c r="AF1190">
        <v>2</v>
      </c>
      <c r="AG1190">
        <v>2</v>
      </c>
      <c r="AH1190">
        <v>1</v>
      </c>
      <c r="AI1190">
        <v>200.79</v>
      </c>
      <c r="AJ1190" t="s">
        <v>6795</v>
      </c>
      <c r="AK1190" t="s">
        <v>6798</v>
      </c>
      <c r="AL1190" t="s">
        <v>6802</v>
      </c>
      <c r="AM1190">
        <v>42828</v>
      </c>
    </row>
    <row r="1191" spans="1:44">
      <c r="A1191" s="1">
        <f>HYPERLINK("https://lsnyc.legalserver.org/matter/dynamic-profile/view/1908622","19-1908622")</f>
        <v>0</v>
      </c>
      <c r="B1191" t="s">
        <v>69</v>
      </c>
      <c r="C1191" t="s">
        <v>279</v>
      </c>
      <c r="D1191" t="s">
        <v>204</v>
      </c>
      <c r="E1191" t="s">
        <v>1120</v>
      </c>
      <c r="F1191" t="s">
        <v>1615</v>
      </c>
      <c r="G1191" t="s">
        <v>2985</v>
      </c>
      <c r="H1191" t="s">
        <v>3155</v>
      </c>
      <c r="I1191" t="s">
        <v>3490</v>
      </c>
      <c r="J1191">
        <v>11208</v>
      </c>
      <c r="K1191" t="s">
        <v>3522</v>
      </c>
      <c r="L1191" t="s">
        <v>3525</v>
      </c>
      <c r="M1191" t="s">
        <v>4020</v>
      </c>
      <c r="N1191" t="s">
        <v>4107</v>
      </c>
      <c r="O1191" t="s">
        <v>4132</v>
      </c>
      <c r="P1191" t="s">
        <v>4139</v>
      </c>
      <c r="Q1191" t="s">
        <v>4147</v>
      </c>
      <c r="R1191" t="s">
        <v>3523</v>
      </c>
      <c r="T1191" t="s">
        <v>4156</v>
      </c>
      <c r="U1191" t="s">
        <v>4168</v>
      </c>
      <c r="V1191" t="s">
        <v>211</v>
      </c>
      <c r="W1191">
        <v>756.5599999999999</v>
      </c>
      <c r="X1191" t="s">
        <v>4193</v>
      </c>
      <c r="Y1191" t="s">
        <v>4200</v>
      </c>
      <c r="Z1191" t="s">
        <v>4422</v>
      </c>
      <c r="AA1191" t="s">
        <v>3526</v>
      </c>
      <c r="AB1191" t="s">
        <v>6550</v>
      </c>
      <c r="AC1191">
        <v>24</v>
      </c>
      <c r="AD1191" t="s">
        <v>6772</v>
      </c>
      <c r="AE1191" t="s">
        <v>3526</v>
      </c>
      <c r="AF1191">
        <v>9</v>
      </c>
      <c r="AG1191">
        <v>2</v>
      </c>
      <c r="AH1191">
        <v>0</v>
      </c>
      <c r="AI1191">
        <v>201.06</v>
      </c>
      <c r="AL1191" t="s">
        <v>6801</v>
      </c>
      <c r="AM1191">
        <v>34000</v>
      </c>
    </row>
    <row r="1192" spans="1:44">
      <c r="A1192" s="1">
        <f>HYPERLINK("https://lsnyc.legalserver.org/matter/dynamic-profile/view/1909087","19-1909087")</f>
        <v>0</v>
      </c>
      <c r="B1192" t="s">
        <v>54</v>
      </c>
      <c r="C1192" t="s">
        <v>275</v>
      </c>
      <c r="E1192" t="s">
        <v>1121</v>
      </c>
      <c r="F1192" t="s">
        <v>1985</v>
      </c>
      <c r="G1192" t="s">
        <v>2199</v>
      </c>
      <c r="H1192" t="s">
        <v>3149</v>
      </c>
      <c r="I1192" t="s">
        <v>3490</v>
      </c>
      <c r="J1192">
        <v>11233</v>
      </c>
      <c r="K1192" t="s">
        <v>3522</v>
      </c>
      <c r="L1192" t="s">
        <v>3526</v>
      </c>
      <c r="M1192" t="s">
        <v>3550</v>
      </c>
      <c r="N1192" t="s">
        <v>4110</v>
      </c>
      <c r="O1192" t="s">
        <v>4137</v>
      </c>
      <c r="Q1192" t="s">
        <v>4147</v>
      </c>
      <c r="R1192" t="s">
        <v>3522</v>
      </c>
      <c r="T1192" t="s">
        <v>4156</v>
      </c>
      <c r="U1192" t="s">
        <v>4168</v>
      </c>
      <c r="V1192" t="s">
        <v>4175</v>
      </c>
      <c r="W1192">
        <v>840.39</v>
      </c>
      <c r="X1192" t="s">
        <v>4193</v>
      </c>
      <c r="Y1192" t="s">
        <v>4200</v>
      </c>
      <c r="Z1192" t="s">
        <v>5229</v>
      </c>
      <c r="AC1192">
        <v>359</v>
      </c>
      <c r="AD1192" t="s">
        <v>6772</v>
      </c>
      <c r="AE1192" t="s">
        <v>3526</v>
      </c>
      <c r="AF1192">
        <v>8</v>
      </c>
      <c r="AG1192">
        <v>2</v>
      </c>
      <c r="AH1192">
        <v>1</v>
      </c>
      <c r="AI1192">
        <v>201.59</v>
      </c>
      <c r="AL1192" t="s">
        <v>6801</v>
      </c>
      <c r="AM1192">
        <v>43000</v>
      </c>
      <c r="AN1192" t="s">
        <v>6871</v>
      </c>
    </row>
    <row r="1193" spans="1:44">
      <c r="A1193" s="1">
        <f>HYPERLINK("https://lsnyc.legalserver.org/matter/dynamic-profile/view/1905355","19-1905355")</f>
        <v>0</v>
      </c>
      <c r="B1193" t="s">
        <v>84</v>
      </c>
      <c r="C1193" t="s">
        <v>244</v>
      </c>
      <c r="D1193" t="s">
        <v>182</v>
      </c>
      <c r="E1193" t="s">
        <v>735</v>
      </c>
      <c r="F1193" t="s">
        <v>1986</v>
      </c>
      <c r="G1193" t="s">
        <v>2983</v>
      </c>
      <c r="H1193" t="s">
        <v>3424</v>
      </c>
      <c r="I1193" t="s">
        <v>3494</v>
      </c>
      <c r="J1193">
        <v>10304</v>
      </c>
      <c r="K1193" t="s">
        <v>3522</v>
      </c>
      <c r="L1193" t="s">
        <v>3525</v>
      </c>
      <c r="M1193" t="s">
        <v>4021</v>
      </c>
      <c r="N1193" t="s">
        <v>4109</v>
      </c>
      <c r="O1193" t="s">
        <v>4134</v>
      </c>
      <c r="P1193" t="s">
        <v>4140</v>
      </c>
      <c r="Q1193" t="s">
        <v>4147</v>
      </c>
      <c r="R1193" t="s">
        <v>3523</v>
      </c>
      <c r="T1193" t="s">
        <v>4156</v>
      </c>
      <c r="U1193" t="s">
        <v>4168</v>
      </c>
      <c r="V1193" t="s">
        <v>312</v>
      </c>
      <c r="W1193">
        <v>941</v>
      </c>
      <c r="X1193" t="s">
        <v>4195</v>
      </c>
      <c r="Y1193" t="s">
        <v>4203</v>
      </c>
      <c r="Z1193" t="s">
        <v>5230</v>
      </c>
      <c r="AB1193" t="s">
        <v>6551</v>
      </c>
      <c r="AC1193">
        <v>134</v>
      </c>
      <c r="AD1193" t="s">
        <v>6778</v>
      </c>
      <c r="AE1193" t="s">
        <v>3526</v>
      </c>
      <c r="AF1193">
        <v>10</v>
      </c>
      <c r="AG1193">
        <v>2</v>
      </c>
      <c r="AH1193">
        <v>2</v>
      </c>
      <c r="AI1193">
        <v>201.94</v>
      </c>
      <c r="AL1193" t="s">
        <v>6801</v>
      </c>
      <c r="AM1193">
        <v>52000</v>
      </c>
      <c r="AO1193" t="s">
        <v>6915</v>
      </c>
      <c r="AP1193" t="s">
        <v>6942</v>
      </c>
      <c r="AQ1193" t="s">
        <v>6945</v>
      </c>
      <c r="AR1193" t="s">
        <v>7002</v>
      </c>
    </row>
    <row r="1194" spans="1:44">
      <c r="A1194" s="1">
        <f>HYPERLINK("https://lsnyc.legalserver.org/matter/dynamic-profile/view/1915714","19-1915714")</f>
        <v>0</v>
      </c>
      <c r="B1194" t="s">
        <v>94</v>
      </c>
      <c r="C1194" t="s">
        <v>248</v>
      </c>
      <c r="E1194" t="s">
        <v>1122</v>
      </c>
      <c r="F1194" t="s">
        <v>1987</v>
      </c>
      <c r="G1194" t="s">
        <v>2480</v>
      </c>
      <c r="H1194" t="s">
        <v>3125</v>
      </c>
      <c r="I1194" t="s">
        <v>3495</v>
      </c>
      <c r="J1194">
        <v>10035</v>
      </c>
      <c r="K1194" t="s">
        <v>3522</v>
      </c>
      <c r="L1194" t="s">
        <v>3525</v>
      </c>
      <c r="N1194" t="s">
        <v>4110</v>
      </c>
      <c r="O1194" t="s">
        <v>4134</v>
      </c>
      <c r="Q1194" t="s">
        <v>4147</v>
      </c>
      <c r="R1194" t="s">
        <v>3522</v>
      </c>
      <c r="T1194" t="s">
        <v>4156</v>
      </c>
      <c r="U1194" t="s">
        <v>4173</v>
      </c>
      <c r="V1194" t="s">
        <v>248</v>
      </c>
      <c r="W1194">
        <v>985</v>
      </c>
      <c r="X1194" t="s">
        <v>4196</v>
      </c>
      <c r="Y1194" t="s">
        <v>4201</v>
      </c>
      <c r="Z1194" t="s">
        <v>5231</v>
      </c>
      <c r="AB1194" t="s">
        <v>6552</v>
      </c>
      <c r="AC1194">
        <v>60</v>
      </c>
      <c r="AD1194" t="s">
        <v>6772</v>
      </c>
      <c r="AE1194" t="s">
        <v>3526</v>
      </c>
      <c r="AF1194">
        <v>10</v>
      </c>
      <c r="AG1194">
        <v>3</v>
      </c>
      <c r="AH1194">
        <v>1</v>
      </c>
      <c r="AI1194">
        <v>201.94</v>
      </c>
      <c r="AL1194" t="s">
        <v>6801</v>
      </c>
      <c r="AM1194">
        <v>52000</v>
      </c>
    </row>
    <row r="1195" spans="1:44">
      <c r="A1195" s="1">
        <f>HYPERLINK("https://lsnyc.legalserver.org/matter/dynamic-profile/view/1908589","19-1908589")</f>
        <v>0</v>
      </c>
      <c r="B1195" t="s">
        <v>94</v>
      </c>
      <c r="C1195" t="s">
        <v>279</v>
      </c>
      <c r="E1195" t="s">
        <v>1123</v>
      </c>
      <c r="F1195" t="s">
        <v>1602</v>
      </c>
      <c r="G1195" t="s">
        <v>2396</v>
      </c>
      <c r="H1195" t="s">
        <v>3211</v>
      </c>
      <c r="I1195" t="s">
        <v>3495</v>
      </c>
      <c r="J1195">
        <v>10035</v>
      </c>
      <c r="K1195" t="s">
        <v>3522</v>
      </c>
      <c r="L1195" t="s">
        <v>3525</v>
      </c>
      <c r="M1195" t="s">
        <v>4022</v>
      </c>
      <c r="N1195" t="s">
        <v>4109</v>
      </c>
      <c r="O1195" t="s">
        <v>4134</v>
      </c>
      <c r="Q1195" t="s">
        <v>4147</v>
      </c>
      <c r="R1195" t="s">
        <v>3523</v>
      </c>
      <c r="T1195" t="s">
        <v>4156</v>
      </c>
      <c r="U1195" t="s">
        <v>4168</v>
      </c>
      <c r="V1195" t="s">
        <v>222</v>
      </c>
      <c r="W1195">
        <v>1794</v>
      </c>
      <c r="X1195" t="s">
        <v>4196</v>
      </c>
      <c r="Y1195" t="s">
        <v>4198</v>
      </c>
      <c r="Z1195" t="s">
        <v>5232</v>
      </c>
      <c r="AB1195" t="s">
        <v>6553</v>
      </c>
      <c r="AC1195">
        <v>72</v>
      </c>
      <c r="AD1195" t="s">
        <v>6772</v>
      </c>
      <c r="AE1195" t="s">
        <v>6786</v>
      </c>
      <c r="AF1195">
        <v>11</v>
      </c>
      <c r="AG1195">
        <v>4</v>
      </c>
      <c r="AH1195">
        <v>0</v>
      </c>
      <c r="AI1195">
        <v>202.73</v>
      </c>
      <c r="AJ1195" t="s">
        <v>333</v>
      </c>
      <c r="AK1195" t="s">
        <v>6799</v>
      </c>
      <c r="AL1195" t="s">
        <v>6801</v>
      </c>
      <c r="AM1195">
        <v>52204</v>
      </c>
    </row>
    <row r="1196" spans="1:44">
      <c r="A1196" s="1">
        <f>HYPERLINK("https://lsnyc.legalserver.org/matter/dynamic-profile/view/1917029","19-1917029")</f>
        <v>0</v>
      </c>
      <c r="B1196" t="s">
        <v>91</v>
      </c>
      <c r="C1196" t="s">
        <v>243</v>
      </c>
      <c r="E1196" t="s">
        <v>1124</v>
      </c>
      <c r="F1196" t="s">
        <v>1451</v>
      </c>
      <c r="G1196" t="s">
        <v>2250</v>
      </c>
      <c r="H1196" t="s">
        <v>3201</v>
      </c>
      <c r="I1196" t="s">
        <v>3495</v>
      </c>
      <c r="J1196">
        <v>10035</v>
      </c>
      <c r="K1196" t="s">
        <v>3522</v>
      </c>
      <c r="L1196" t="s">
        <v>3525</v>
      </c>
      <c r="N1196" t="s">
        <v>3554</v>
      </c>
      <c r="O1196" t="s">
        <v>4135</v>
      </c>
      <c r="Q1196" t="s">
        <v>4147</v>
      </c>
      <c r="R1196" t="s">
        <v>3522</v>
      </c>
      <c r="T1196" t="s">
        <v>4156</v>
      </c>
      <c r="U1196" t="s">
        <v>4168</v>
      </c>
      <c r="V1196" t="s">
        <v>243</v>
      </c>
      <c r="W1196">
        <v>1415</v>
      </c>
      <c r="X1196" t="s">
        <v>4196</v>
      </c>
      <c r="Y1196" t="s">
        <v>4201</v>
      </c>
      <c r="Z1196" t="s">
        <v>5233</v>
      </c>
      <c r="AB1196" t="s">
        <v>6554</v>
      </c>
      <c r="AC1196">
        <v>35</v>
      </c>
      <c r="AD1196" t="s">
        <v>6772</v>
      </c>
      <c r="AE1196" t="s">
        <v>3526</v>
      </c>
      <c r="AF1196">
        <v>7</v>
      </c>
      <c r="AG1196">
        <v>4</v>
      </c>
      <c r="AH1196">
        <v>3</v>
      </c>
      <c r="AI1196">
        <v>203.28</v>
      </c>
      <c r="AL1196" t="s">
        <v>6802</v>
      </c>
      <c r="AM1196">
        <v>79300</v>
      </c>
    </row>
    <row r="1197" spans="1:44">
      <c r="A1197" s="1">
        <f>HYPERLINK("https://lsnyc.legalserver.org/matter/dynamic-profile/view/1917036","19-1917036")</f>
        <v>0</v>
      </c>
      <c r="B1197" t="s">
        <v>91</v>
      </c>
      <c r="C1197" t="s">
        <v>243</v>
      </c>
      <c r="D1197" t="s">
        <v>332</v>
      </c>
      <c r="E1197" t="s">
        <v>1124</v>
      </c>
      <c r="F1197" t="s">
        <v>1451</v>
      </c>
      <c r="G1197" t="s">
        <v>2250</v>
      </c>
      <c r="H1197" t="s">
        <v>3201</v>
      </c>
      <c r="I1197" t="s">
        <v>3495</v>
      </c>
      <c r="J1197">
        <v>10035</v>
      </c>
      <c r="K1197" t="s">
        <v>3522</v>
      </c>
      <c r="L1197" t="s">
        <v>3525</v>
      </c>
      <c r="N1197" t="s">
        <v>3554</v>
      </c>
      <c r="O1197" t="s">
        <v>4135</v>
      </c>
      <c r="P1197" t="s">
        <v>4142</v>
      </c>
      <c r="Q1197" t="s">
        <v>4147</v>
      </c>
      <c r="R1197" t="s">
        <v>3522</v>
      </c>
      <c r="T1197" t="s">
        <v>4156</v>
      </c>
      <c r="U1197" t="s">
        <v>4168</v>
      </c>
      <c r="V1197" t="s">
        <v>243</v>
      </c>
      <c r="W1197">
        <v>1415</v>
      </c>
      <c r="X1197" t="s">
        <v>4196</v>
      </c>
      <c r="Y1197" t="s">
        <v>4201</v>
      </c>
      <c r="Z1197" t="s">
        <v>5233</v>
      </c>
      <c r="AB1197" t="s">
        <v>6554</v>
      </c>
      <c r="AC1197">
        <v>35</v>
      </c>
      <c r="AD1197" t="s">
        <v>6772</v>
      </c>
      <c r="AE1197" t="s">
        <v>3526</v>
      </c>
      <c r="AF1197">
        <v>7</v>
      </c>
      <c r="AG1197">
        <v>4</v>
      </c>
      <c r="AH1197">
        <v>3</v>
      </c>
      <c r="AI1197">
        <v>203.28</v>
      </c>
      <c r="AL1197" t="s">
        <v>6802</v>
      </c>
      <c r="AM1197">
        <v>79300</v>
      </c>
    </row>
    <row r="1198" spans="1:44">
      <c r="A1198" s="1">
        <f>HYPERLINK("https://lsnyc.legalserver.org/matter/dynamic-profile/view/1912395","19-1912395")</f>
        <v>0</v>
      </c>
      <c r="B1198" t="s">
        <v>166</v>
      </c>
      <c r="C1198" t="s">
        <v>295</v>
      </c>
      <c r="E1198" t="s">
        <v>520</v>
      </c>
      <c r="F1198" t="s">
        <v>1988</v>
      </c>
      <c r="G1198" t="s">
        <v>2986</v>
      </c>
      <c r="H1198" t="s">
        <v>3425</v>
      </c>
      <c r="I1198" t="s">
        <v>3496</v>
      </c>
      <c r="J1198">
        <v>11385</v>
      </c>
      <c r="K1198" t="s">
        <v>3523</v>
      </c>
      <c r="L1198" t="s">
        <v>3526</v>
      </c>
      <c r="N1198" t="s">
        <v>4108</v>
      </c>
      <c r="O1198" t="s">
        <v>4134</v>
      </c>
      <c r="Q1198" t="s">
        <v>4147</v>
      </c>
      <c r="R1198" t="s">
        <v>3523</v>
      </c>
      <c r="T1198" t="s">
        <v>4156</v>
      </c>
      <c r="U1198" t="s">
        <v>4168</v>
      </c>
      <c r="V1198" t="s">
        <v>381</v>
      </c>
      <c r="W1198">
        <v>756.72</v>
      </c>
      <c r="X1198" t="s">
        <v>4192</v>
      </c>
      <c r="Y1198" t="s">
        <v>4204</v>
      </c>
      <c r="Z1198" t="s">
        <v>5234</v>
      </c>
      <c r="AA1198" t="s">
        <v>5482</v>
      </c>
      <c r="AB1198" t="s">
        <v>6555</v>
      </c>
      <c r="AC1198">
        <v>6</v>
      </c>
      <c r="AD1198" t="s">
        <v>6772</v>
      </c>
      <c r="AE1198" t="s">
        <v>3526</v>
      </c>
      <c r="AF1198">
        <v>20</v>
      </c>
      <c r="AG1198">
        <v>1</v>
      </c>
      <c r="AH1198">
        <v>0</v>
      </c>
      <c r="AI1198">
        <v>204</v>
      </c>
      <c r="AL1198" t="s">
        <v>6802</v>
      </c>
      <c r="AM1198">
        <v>25480</v>
      </c>
    </row>
    <row r="1199" spans="1:44">
      <c r="A1199" s="1">
        <f>HYPERLINK("https://lsnyc.legalserver.org/matter/dynamic-profile/view/1913635","19-1913635")</f>
        <v>0</v>
      </c>
      <c r="B1199" t="s">
        <v>72</v>
      </c>
      <c r="C1199" t="s">
        <v>265</v>
      </c>
      <c r="E1199" t="s">
        <v>1088</v>
      </c>
      <c r="F1199" t="s">
        <v>1369</v>
      </c>
      <c r="G1199" t="s">
        <v>2304</v>
      </c>
      <c r="H1199" t="s">
        <v>3221</v>
      </c>
      <c r="I1199" t="s">
        <v>3490</v>
      </c>
      <c r="J1199">
        <v>11238</v>
      </c>
      <c r="K1199" t="s">
        <v>3522</v>
      </c>
      <c r="L1199" t="s">
        <v>3525</v>
      </c>
      <c r="N1199" t="s">
        <v>4108</v>
      </c>
      <c r="O1199" t="s">
        <v>4134</v>
      </c>
      <c r="Q1199" t="s">
        <v>4147</v>
      </c>
      <c r="R1199" t="s">
        <v>3522</v>
      </c>
      <c r="T1199" t="s">
        <v>4156</v>
      </c>
      <c r="U1199" t="s">
        <v>4168</v>
      </c>
      <c r="V1199" t="s">
        <v>4178</v>
      </c>
      <c r="W1199">
        <v>983.4400000000001</v>
      </c>
      <c r="X1199" t="s">
        <v>4193</v>
      </c>
      <c r="Y1199" t="s">
        <v>4200</v>
      </c>
      <c r="Z1199" t="s">
        <v>5171</v>
      </c>
      <c r="AA1199" t="s">
        <v>3526</v>
      </c>
      <c r="AB1199" t="s">
        <v>6499</v>
      </c>
      <c r="AC1199">
        <v>16</v>
      </c>
      <c r="AD1199" t="s">
        <v>6772</v>
      </c>
      <c r="AE1199" t="s">
        <v>3526</v>
      </c>
      <c r="AF1199">
        <v>13</v>
      </c>
      <c r="AG1199">
        <v>2</v>
      </c>
      <c r="AH1199">
        <v>2</v>
      </c>
      <c r="AI1199">
        <v>205.59</v>
      </c>
      <c r="AL1199" t="s">
        <v>6801</v>
      </c>
      <c r="AM1199">
        <v>52940</v>
      </c>
      <c r="AN1199" t="s">
        <v>6836</v>
      </c>
    </row>
    <row r="1200" spans="1:44">
      <c r="A1200" s="1">
        <f>HYPERLINK("https://lsnyc.legalserver.org/matter/dynamic-profile/view/1909432","19-1909432")</f>
        <v>0</v>
      </c>
      <c r="B1200" t="s">
        <v>93</v>
      </c>
      <c r="C1200" t="s">
        <v>247</v>
      </c>
      <c r="E1200" t="s">
        <v>1125</v>
      </c>
      <c r="F1200" t="s">
        <v>1989</v>
      </c>
      <c r="G1200" t="s">
        <v>2502</v>
      </c>
      <c r="H1200" t="s">
        <v>3189</v>
      </c>
      <c r="I1200" t="s">
        <v>3495</v>
      </c>
      <c r="J1200">
        <v>10040</v>
      </c>
      <c r="K1200" t="s">
        <v>3522</v>
      </c>
      <c r="L1200" t="s">
        <v>3525</v>
      </c>
      <c r="N1200" t="s">
        <v>4108</v>
      </c>
      <c r="O1200" t="s">
        <v>4134</v>
      </c>
      <c r="Q1200" t="s">
        <v>4147</v>
      </c>
      <c r="R1200" t="s">
        <v>3522</v>
      </c>
      <c r="T1200" t="s">
        <v>4156</v>
      </c>
      <c r="V1200" t="s">
        <v>4187</v>
      </c>
      <c r="W1200">
        <v>1200</v>
      </c>
      <c r="X1200" t="s">
        <v>4196</v>
      </c>
      <c r="Y1200" t="s">
        <v>4205</v>
      </c>
      <c r="Z1200" t="s">
        <v>5235</v>
      </c>
      <c r="AB1200" t="s">
        <v>6556</v>
      </c>
      <c r="AC1200">
        <v>77</v>
      </c>
      <c r="AD1200" t="s">
        <v>6771</v>
      </c>
      <c r="AE1200" t="s">
        <v>3526</v>
      </c>
      <c r="AF1200">
        <v>8</v>
      </c>
      <c r="AG1200">
        <v>1</v>
      </c>
      <c r="AH1200">
        <v>0</v>
      </c>
      <c r="AI1200">
        <v>205.6</v>
      </c>
      <c r="AJ1200" t="s">
        <v>333</v>
      </c>
      <c r="AK1200" t="s">
        <v>6799</v>
      </c>
      <c r="AL1200" t="s">
        <v>6801</v>
      </c>
      <c r="AM1200">
        <v>25680</v>
      </c>
    </row>
    <row r="1201" spans="1:44">
      <c r="A1201" s="1">
        <f>HYPERLINK("https://lsnyc.legalserver.org/matter/dynamic-profile/view/1914825","19-1914825")</f>
        <v>0</v>
      </c>
      <c r="B1201" t="s">
        <v>94</v>
      </c>
      <c r="C1201" t="s">
        <v>301</v>
      </c>
      <c r="E1201" t="s">
        <v>1122</v>
      </c>
      <c r="F1201" t="s">
        <v>1987</v>
      </c>
      <c r="G1201" t="s">
        <v>2480</v>
      </c>
      <c r="H1201" t="s">
        <v>3125</v>
      </c>
      <c r="I1201" t="s">
        <v>3495</v>
      </c>
      <c r="J1201">
        <v>10035</v>
      </c>
      <c r="K1201" t="s">
        <v>3522</v>
      </c>
      <c r="L1201" t="s">
        <v>3525</v>
      </c>
      <c r="N1201" t="s">
        <v>4108</v>
      </c>
      <c r="O1201" t="s">
        <v>4134</v>
      </c>
      <c r="Q1201" t="s">
        <v>4147</v>
      </c>
      <c r="R1201" t="s">
        <v>3522</v>
      </c>
      <c r="T1201" t="s">
        <v>4156</v>
      </c>
      <c r="U1201" t="s">
        <v>4168</v>
      </c>
      <c r="V1201" t="s">
        <v>267</v>
      </c>
      <c r="W1201">
        <v>985</v>
      </c>
      <c r="X1201" t="s">
        <v>4196</v>
      </c>
      <c r="Y1201" t="s">
        <v>4201</v>
      </c>
      <c r="Z1201" t="s">
        <v>5231</v>
      </c>
      <c r="AB1201" t="s">
        <v>6552</v>
      </c>
      <c r="AC1201">
        <v>60</v>
      </c>
      <c r="AD1201" t="s">
        <v>6772</v>
      </c>
      <c r="AE1201" t="s">
        <v>3526</v>
      </c>
      <c r="AF1201">
        <v>10</v>
      </c>
      <c r="AG1201">
        <v>3</v>
      </c>
      <c r="AH1201">
        <v>1</v>
      </c>
      <c r="AI1201">
        <v>205.83</v>
      </c>
      <c r="AL1201" t="s">
        <v>6801</v>
      </c>
      <c r="AM1201">
        <v>53000</v>
      </c>
    </row>
    <row r="1202" spans="1:44">
      <c r="A1202" s="1">
        <f>HYPERLINK("https://lsnyc.legalserver.org/matter/dynamic-profile/view/1903861","19-1903861")</f>
        <v>0</v>
      </c>
      <c r="B1202" t="s">
        <v>44</v>
      </c>
      <c r="C1202" t="s">
        <v>259</v>
      </c>
      <c r="D1202" t="s">
        <v>203</v>
      </c>
      <c r="E1202" t="s">
        <v>478</v>
      </c>
      <c r="F1202" t="s">
        <v>1959</v>
      </c>
      <c r="G1202" t="s">
        <v>2987</v>
      </c>
      <c r="I1202" t="s">
        <v>3479</v>
      </c>
      <c r="J1202">
        <v>11691</v>
      </c>
      <c r="K1202" t="s">
        <v>3522</v>
      </c>
      <c r="L1202" t="s">
        <v>3525</v>
      </c>
      <c r="M1202" t="s">
        <v>3529</v>
      </c>
      <c r="N1202" t="s">
        <v>4107</v>
      </c>
      <c r="O1202" t="s">
        <v>4132</v>
      </c>
      <c r="P1202" t="s">
        <v>4139</v>
      </c>
      <c r="Q1202" t="s">
        <v>4147</v>
      </c>
      <c r="R1202" t="s">
        <v>3523</v>
      </c>
      <c r="T1202" t="s">
        <v>4156</v>
      </c>
      <c r="U1202" t="s">
        <v>4168</v>
      </c>
      <c r="V1202" t="s">
        <v>4174</v>
      </c>
      <c r="W1202">
        <v>1300</v>
      </c>
      <c r="X1202" t="s">
        <v>4192</v>
      </c>
      <c r="Y1202" t="s">
        <v>4205</v>
      </c>
      <c r="Z1202" t="s">
        <v>5236</v>
      </c>
      <c r="AA1202" t="s">
        <v>3526</v>
      </c>
      <c r="AB1202" t="s">
        <v>5482</v>
      </c>
      <c r="AC1202">
        <v>2</v>
      </c>
      <c r="AD1202" t="s">
        <v>6771</v>
      </c>
      <c r="AE1202" t="s">
        <v>3526</v>
      </c>
      <c r="AF1202">
        <v>-1</v>
      </c>
      <c r="AG1202">
        <v>1</v>
      </c>
      <c r="AH1202">
        <v>1</v>
      </c>
      <c r="AI1202">
        <v>206.98</v>
      </c>
      <c r="AL1202" t="s">
        <v>6801</v>
      </c>
      <c r="AM1202">
        <v>35000</v>
      </c>
      <c r="AP1202" t="s">
        <v>4200</v>
      </c>
      <c r="AR1202" t="s">
        <v>6990</v>
      </c>
    </row>
    <row r="1203" spans="1:44">
      <c r="A1203" s="1">
        <f>HYPERLINK("https://lsnyc.legalserver.org/matter/dynamic-profile/view/1908943","19-1908943")</f>
        <v>0</v>
      </c>
      <c r="B1203" t="s">
        <v>60</v>
      </c>
      <c r="C1203" t="s">
        <v>304</v>
      </c>
      <c r="E1203" t="s">
        <v>1126</v>
      </c>
      <c r="F1203" t="s">
        <v>1519</v>
      </c>
      <c r="G1203" t="s">
        <v>2988</v>
      </c>
      <c r="H1203">
        <v>2</v>
      </c>
      <c r="I1203" t="s">
        <v>3490</v>
      </c>
      <c r="J1203">
        <v>11207</v>
      </c>
      <c r="K1203" t="s">
        <v>3522</v>
      </c>
      <c r="L1203" t="s">
        <v>3525</v>
      </c>
      <c r="M1203" t="s">
        <v>3571</v>
      </c>
      <c r="N1203" t="s">
        <v>4107</v>
      </c>
      <c r="O1203" t="s">
        <v>4134</v>
      </c>
      <c r="Q1203" t="s">
        <v>4147</v>
      </c>
      <c r="R1203" t="s">
        <v>3523</v>
      </c>
      <c r="T1203" t="s">
        <v>4156</v>
      </c>
      <c r="U1203" t="s">
        <v>4168</v>
      </c>
      <c r="V1203" t="s">
        <v>373</v>
      </c>
      <c r="W1203">
        <v>1000</v>
      </c>
      <c r="X1203" t="s">
        <v>4193</v>
      </c>
      <c r="Y1203" t="s">
        <v>4205</v>
      </c>
      <c r="Z1203" t="s">
        <v>5237</v>
      </c>
      <c r="AA1203" t="s">
        <v>3526</v>
      </c>
      <c r="AC1203">
        <v>3</v>
      </c>
      <c r="AD1203" t="s">
        <v>6771</v>
      </c>
      <c r="AE1203" t="s">
        <v>3526</v>
      </c>
      <c r="AF1203">
        <v>2</v>
      </c>
      <c r="AG1203">
        <v>2</v>
      </c>
      <c r="AH1203">
        <v>0</v>
      </c>
      <c r="AI1203">
        <v>206.98</v>
      </c>
      <c r="AJ1203" t="s">
        <v>269</v>
      </c>
      <c r="AK1203" t="s">
        <v>6799</v>
      </c>
      <c r="AL1203" t="s">
        <v>6801</v>
      </c>
      <c r="AM1203">
        <v>35000</v>
      </c>
    </row>
    <row r="1204" spans="1:44">
      <c r="A1204" s="1">
        <f>HYPERLINK("https://lsnyc.legalserver.org/matter/dynamic-profile/view/1913818","19-1913818")</f>
        <v>0</v>
      </c>
      <c r="B1204" t="s">
        <v>46</v>
      </c>
      <c r="C1204" t="s">
        <v>199</v>
      </c>
      <c r="E1204" t="s">
        <v>1127</v>
      </c>
      <c r="F1204" t="s">
        <v>1990</v>
      </c>
      <c r="G1204" t="s">
        <v>2989</v>
      </c>
      <c r="H1204" t="s">
        <v>3426</v>
      </c>
      <c r="I1204" t="s">
        <v>3501</v>
      </c>
      <c r="J1204">
        <v>11101</v>
      </c>
      <c r="K1204" t="s">
        <v>3522</v>
      </c>
      <c r="M1204" t="s">
        <v>4023</v>
      </c>
      <c r="N1204" t="s">
        <v>4108</v>
      </c>
      <c r="O1204" t="s">
        <v>4135</v>
      </c>
      <c r="Q1204" t="s">
        <v>4147</v>
      </c>
      <c r="R1204" t="s">
        <v>3523</v>
      </c>
      <c r="T1204" t="s">
        <v>4156</v>
      </c>
      <c r="U1204" t="s">
        <v>4168</v>
      </c>
      <c r="V1204" t="s">
        <v>199</v>
      </c>
      <c r="W1204">
        <v>1540</v>
      </c>
      <c r="X1204" t="s">
        <v>4192</v>
      </c>
      <c r="Y1204" t="s">
        <v>4206</v>
      </c>
      <c r="Z1204" t="s">
        <v>5238</v>
      </c>
      <c r="AB1204" t="s">
        <v>6557</v>
      </c>
      <c r="AC1204">
        <v>30</v>
      </c>
      <c r="AD1204" t="s">
        <v>6772</v>
      </c>
      <c r="AF1204">
        <v>11</v>
      </c>
      <c r="AG1204">
        <v>2</v>
      </c>
      <c r="AH1204">
        <v>1</v>
      </c>
      <c r="AI1204">
        <v>207.22</v>
      </c>
      <c r="AK1204" t="s">
        <v>6799</v>
      </c>
      <c r="AL1204" t="s">
        <v>6803</v>
      </c>
      <c r="AM1204">
        <v>44200</v>
      </c>
    </row>
    <row r="1205" spans="1:44">
      <c r="A1205" s="1">
        <f>HYPERLINK("https://lsnyc.legalserver.org/matter/dynamic-profile/view/1917044","19-1917044")</f>
        <v>0</v>
      </c>
      <c r="B1205" t="s">
        <v>67</v>
      </c>
      <c r="C1205" t="s">
        <v>243</v>
      </c>
      <c r="E1205" t="s">
        <v>505</v>
      </c>
      <c r="F1205" t="s">
        <v>1598</v>
      </c>
      <c r="G1205" t="s">
        <v>2212</v>
      </c>
      <c r="H1205">
        <v>26</v>
      </c>
      <c r="I1205" t="s">
        <v>3490</v>
      </c>
      <c r="J1205">
        <v>11213</v>
      </c>
      <c r="K1205" t="s">
        <v>3522</v>
      </c>
      <c r="L1205" t="s">
        <v>3525</v>
      </c>
      <c r="M1205" t="s">
        <v>3609</v>
      </c>
      <c r="N1205" t="s">
        <v>4115</v>
      </c>
      <c r="O1205" t="s">
        <v>4134</v>
      </c>
      <c r="Q1205" t="s">
        <v>4147</v>
      </c>
      <c r="R1205" t="s">
        <v>3522</v>
      </c>
      <c r="T1205" t="s">
        <v>4156</v>
      </c>
      <c r="V1205" t="s">
        <v>297</v>
      </c>
      <c r="W1205">
        <v>1354</v>
      </c>
      <c r="X1205" t="s">
        <v>4193</v>
      </c>
      <c r="Y1205" t="s">
        <v>4198</v>
      </c>
      <c r="Z1205" t="s">
        <v>5239</v>
      </c>
      <c r="AA1205" t="s">
        <v>3526</v>
      </c>
      <c r="AB1205" t="s">
        <v>6558</v>
      </c>
      <c r="AC1205">
        <v>31</v>
      </c>
      <c r="AD1205" t="s">
        <v>6772</v>
      </c>
      <c r="AE1205" t="s">
        <v>3526</v>
      </c>
      <c r="AF1205">
        <v>4</v>
      </c>
      <c r="AG1205">
        <v>1</v>
      </c>
      <c r="AH1205">
        <v>0</v>
      </c>
      <c r="AI1205">
        <v>208.17</v>
      </c>
      <c r="AL1205" t="s">
        <v>6801</v>
      </c>
      <c r="AM1205">
        <v>26000</v>
      </c>
      <c r="AN1205" t="s">
        <v>6872</v>
      </c>
    </row>
    <row r="1206" spans="1:44">
      <c r="A1206" s="1">
        <f>HYPERLINK("https://lsnyc.legalserver.org/matter/dynamic-profile/view/1917047","19-1917047")</f>
        <v>0</v>
      </c>
      <c r="B1206" t="s">
        <v>67</v>
      </c>
      <c r="C1206" t="s">
        <v>243</v>
      </c>
      <c r="E1206" t="s">
        <v>505</v>
      </c>
      <c r="F1206" t="s">
        <v>1598</v>
      </c>
      <c r="G1206" t="s">
        <v>2212</v>
      </c>
      <c r="H1206">
        <v>26</v>
      </c>
      <c r="I1206" t="s">
        <v>3490</v>
      </c>
      <c r="J1206">
        <v>11213</v>
      </c>
      <c r="K1206" t="s">
        <v>3522</v>
      </c>
      <c r="L1206" t="s">
        <v>3525</v>
      </c>
      <c r="M1206" t="s">
        <v>3609</v>
      </c>
      <c r="N1206" t="s">
        <v>4110</v>
      </c>
      <c r="O1206" t="s">
        <v>4134</v>
      </c>
      <c r="Q1206" t="s">
        <v>4147</v>
      </c>
      <c r="R1206" t="s">
        <v>3522</v>
      </c>
      <c r="T1206" t="s">
        <v>4156</v>
      </c>
      <c r="V1206" t="s">
        <v>297</v>
      </c>
      <c r="W1206">
        <v>1354</v>
      </c>
      <c r="X1206" t="s">
        <v>4193</v>
      </c>
      <c r="Y1206" t="s">
        <v>4198</v>
      </c>
      <c r="Z1206" t="s">
        <v>5239</v>
      </c>
      <c r="AA1206" t="s">
        <v>3526</v>
      </c>
      <c r="AB1206" t="s">
        <v>6558</v>
      </c>
      <c r="AC1206">
        <v>31</v>
      </c>
      <c r="AD1206" t="s">
        <v>6772</v>
      </c>
      <c r="AE1206" t="s">
        <v>3526</v>
      </c>
      <c r="AF1206">
        <v>4</v>
      </c>
      <c r="AG1206">
        <v>1</v>
      </c>
      <c r="AH1206">
        <v>0</v>
      </c>
      <c r="AI1206">
        <v>208.17</v>
      </c>
      <c r="AL1206" t="s">
        <v>6801</v>
      </c>
      <c r="AM1206">
        <v>26000</v>
      </c>
      <c r="AN1206" t="s">
        <v>6843</v>
      </c>
    </row>
    <row r="1207" spans="1:44">
      <c r="A1207" s="1">
        <f>HYPERLINK("https://lsnyc.legalserver.org/matter/dynamic-profile/view/1917051","19-1917051")</f>
        <v>0</v>
      </c>
      <c r="B1207" t="s">
        <v>67</v>
      </c>
      <c r="C1207" t="s">
        <v>243</v>
      </c>
      <c r="E1207" t="s">
        <v>505</v>
      </c>
      <c r="F1207" t="s">
        <v>1598</v>
      </c>
      <c r="G1207" t="s">
        <v>2212</v>
      </c>
      <c r="H1207">
        <v>26</v>
      </c>
      <c r="I1207" t="s">
        <v>3490</v>
      </c>
      <c r="J1207">
        <v>11213</v>
      </c>
      <c r="K1207" t="s">
        <v>3522</v>
      </c>
      <c r="L1207" t="s">
        <v>3525</v>
      </c>
      <c r="M1207" t="s">
        <v>3609</v>
      </c>
      <c r="N1207" t="s">
        <v>4110</v>
      </c>
      <c r="O1207" t="s">
        <v>4134</v>
      </c>
      <c r="Q1207" t="s">
        <v>4147</v>
      </c>
      <c r="R1207" t="s">
        <v>3522</v>
      </c>
      <c r="T1207" t="s">
        <v>4156</v>
      </c>
      <c r="V1207" t="s">
        <v>297</v>
      </c>
      <c r="W1207">
        <v>1354</v>
      </c>
      <c r="X1207" t="s">
        <v>4193</v>
      </c>
      <c r="Y1207" t="s">
        <v>4198</v>
      </c>
      <c r="Z1207" t="s">
        <v>5239</v>
      </c>
      <c r="AA1207" t="s">
        <v>3526</v>
      </c>
      <c r="AB1207" t="s">
        <v>6558</v>
      </c>
      <c r="AC1207">
        <v>31</v>
      </c>
      <c r="AD1207" t="s">
        <v>6772</v>
      </c>
      <c r="AE1207" t="s">
        <v>3526</v>
      </c>
      <c r="AF1207">
        <v>4</v>
      </c>
      <c r="AG1207">
        <v>1</v>
      </c>
      <c r="AH1207">
        <v>0</v>
      </c>
      <c r="AI1207">
        <v>208.17</v>
      </c>
      <c r="AL1207" t="s">
        <v>6801</v>
      </c>
      <c r="AM1207">
        <v>26000</v>
      </c>
      <c r="AN1207" t="s">
        <v>6844</v>
      </c>
    </row>
    <row r="1208" spans="1:44">
      <c r="A1208" s="1">
        <f>HYPERLINK("https://lsnyc.legalserver.org/matter/dynamic-profile/view/1917038","19-1917038")</f>
        <v>0</v>
      </c>
      <c r="B1208" t="s">
        <v>67</v>
      </c>
      <c r="C1208" t="s">
        <v>243</v>
      </c>
      <c r="E1208" t="s">
        <v>505</v>
      </c>
      <c r="F1208" t="s">
        <v>1598</v>
      </c>
      <c r="G1208" t="s">
        <v>2212</v>
      </c>
      <c r="H1208">
        <v>26</v>
      </c>
      <c r="I1208" t="s">
        <v>3490</v>
      </c>
      <c r="J1208">
        <v>11213</v>
      </c>
      <c r="K1208" t="s">
        <v>3522</v>
      </c>
      <c r="L1208" t="s">
        <v>3525</v>
      </c>
      <c r="M1208" t="s">
        <v>3526</v>
      </c>
      <c r="N1208" t="s">
        <v>3554</v>
      </c>
      <c r="O1208" t="s">
        <v>4135</v>
      </c>
      <c r="Q1208" t="s">
        <v>4147</v>
      </c>
      <c r="R1208" t="s">
        <v>3522</v>
      </c>
      <c r="T1208" t="s">
        <v>4156</v>
      </c>
      <c r="V1208" t="s">
        <v>297</v>
      </c>
      <c r="W1208">
        <v>1354</v>
      </c>
      <c r="X1208" t="s">
        <v>4193</v>
      </c>
      <c r="Y1208" t="s">
        <v>4198</v>
      </c>
      <c r="Z1208" t="s">
        <v>5239</v>
      </c>
      <c r="AA1208" t="s">
        <v>3526</v>
      </c>
      <c r="AB1208" t="s">
        <v>6558</v>
      </c>
      <c r="AC1208">
        <v>31</v>
      </c>
      <c r="AD1208" t="s">
        <v>6772</v>
      </c>
      <c r="AE1208" t="s">
        <v>3526</v>
      </c>
      <c r="AF1208">
        <v>4</v>
      </c>
      <c r="AG1208">
        <v>1</v>
      </c>
      <c r="AH1208">
        <v>0</v>
      </c>
      <c r="AI1208">
        <v>208.17</v>
      </c>
      <c r="AL1208" t="s">
        <v>6801</v>
      </c>
      <c r="AM1208">
        <v>26000</v>
      </c>
      <c r="AN1208" t="s">
        <v>6873</v>
      </c>
    </row>
    <row r="1209" spans="1:44">
      <c r="A1209" s="1">
        <f>HYPERLINK("https://lsnyc.legalserver.org/matter/dynamic-profile/view/1909493","19-1909493")</f>
        <v>0</v>
      </c>
      <c r="B1209" t="s">
        <v>61</v>
      </c>
      <c r="C1209" t="s">
        <v>184</v>
      </c>
      <c r="D1209" t="s">
        <v>220</v>
      </c>
      <c r="E1209" t="s">
        <v>1128</v>
      </c>
      <c r="F1209" t="s">
        <v>1991</v>
      </c>
      <c r="G1209" t="s">
        <v>2990</v>
      </c>
      <c r="H1209" t="s">
        <v>3149</v>
      </c>
      <c r="I1209" t="s">
        <v>3490</v>
      </c>
      <c r="J1209">
        <v>11207</v>
      </c>
      <c r="K1209" t="s">
        <v>3522</v>
      </c>
      <c r="L1209" t="s">
        <v>3525</v>
      </c>
      <c r="M1209" t="s">
        <v>3554</v>
      </c>
      <c r="N1209" t="s">
        <v>3554</v>
      </c>
      <c r="O1209" t="s">
        <v>4132</v>
      </c>
      <c r="P1209" t="s">
        <v>4139</v>
      </c>
      <c r="Q1209" t="s">
        <v>4147</v>
      </c>
      <c r="R1209" t="s">
        <v>3523</v>
      </c>
      <c r="T1209" t="s">
        <v>4156</v>
      </c>
      <c r="V1209" t="s">
        <v>197</v>
      </c>
      <c r="W1209">
        <v>0</v>
      </c>
      <c r="X1209" t="s">
        <v>4193</v>
      </c>
      <c r="Y1209" t="s">
        <v>4198</v>
      </c>
      <c r="Z1209" t="s">
        <v>5240</v>
      </c>
      <c r="AB1209" t="s">
        <v>6559</v>
      </c>
      <c r="AC1209">
        <v>102</v>
      </c>
      <c r="AD1209" t="s">
        <v>6772</v>
      </c>
      <c r="AE1209" t="s">
        <v>3526</v>
      </c>
      <c r="AF1209">
        <v>0</v>
      </c>
      <c r="AG1209">
        <v>2</v>
      </c>
      <c r="AH1209">
        <v>0</v>
      </c>
      <c r="AI1209">
        <v>210.55</v>
      </c>
      <c r="AL1209" t="s">
        <v>6801</v>
      </c>
      <c r="AM1209">
        <v>35604</v>
      </c>
    </row>
    <row r="1210" spans="1:44">
      <c r="A1210" s="1">
        <f>HYPERLINK("https://lsnyc.legalserver.org/matter/dynamic-profile/view/1906710","19-1906710")</f>
        <v>0</v>
      </c>
      <c r="B1210" t="s">
        <v>64</v>
      </c>
      <c r="C1210" t="s">
        <v>235</v>
      </c>
      <c r="E1210" t="s">
        <v>623</v>
      </c>
      <c r="F1210" t="s">
        <v>1992</v>
      </c>
      <c r="G1210" t="s">
        <v>2362</v>
      </c>
      <c r="H1210" t="s">
        <v>3135</v>
      </c>
      <c r="I1210" t="s">
        <v>3490</v>
      </c>
      <c r="J1210">
        <v>11225</v>
      </c>
      <c r="K1210" t="s">
        <v>3522</v>
      </c>
      <c r="L1210" t="s">
        <v>3525</v>
      </c>
      <c r="N1210" t="s">
        <v>4110</v>
      </c>
      <c r="O1210" t="s">
        <v>4132</v>
      </c>
      <c r="Q1210" t="s">
        <v>4147</v>
      </c>
      <c r="R1210" t="s">
        <v>3523</v>
      </c>
      <c r="S1210" t="s">
        <v>4149</v>
      </c>
      <c r="T1210" t="s">
        <v>4156</v>
      </c>
      <c r="V1210" t="s">
        <v>207</v>
      </c>
      <c r="W1210">
        <v>1976.11</v>
      </c>
      <c r="X1210" t="s">
        <v>4193</v>
      </c>
      <c r="Z1210" t="s">
        <v>5241</v>
      </c>
      <c r="AB1210" t="s">
        <v>6560</v>
      </c>
      <c r="AC1210">
        <v>11</v>
      </c>
      <c r="AF1210">
        <v>6</v>
      </c>
      <c r="AG1210">
        <v>2</v>
      </c>
      <c r="AH1210">
        <v>1</v>
      </c>
      <c r="AI1210">
        <v>211.25</v>
      </c>
      <c r="AL1210" t="s">
        <v>6801</v>
      </c>
      <c r="AM1210">
        <v>45060</v>
      </c>
    </row>
    <row r="1211" spans="1:44">
      <c r="A1211" s="1">
        <f>HYPERLINK("https://lsnyc.legalserver.org/matter/dynamic-profile/view/1906759","19-1906759")</f>
        <v>0</v>
      </c>
      <c r="B1211" t="s">
        <v>64</v>
      </c>
      <c r="C1211" t="s">
        <v>235</v>
      </c>
      <c r="E1211" t="s">
        <v>1129</v>
      </c>
      <c r="F1211" t="s">
        <v>1993</v>
      </c>
      <c r="G1211" t="s">
        <v>2362</v>
      </c>
      <c r="I1211" t="s">
        <v>3490</v>
      </c>
      <c r="J1211">
        <v>11225</v>
      </c>
      <c r="K1211" t="s">
        <v>3522</v>
      </c>
      <c r="L1211" t="s">
        <v>3525</v>
      </c>
      <c r="N1211" t="s">
        <v>4116</v>
      </c>
      <c r="O1211" t="s">
        <v>4133</v>
      </c>
      <c r="Q1211" t="s">
        <v>4147</v>
      </c>
      <c r="S1211" t="s">
        <v>4149</v>
      </c>
      <c r="T1211" t="s">
        <v>4156</v>
      </c>
      <c r="V1211" t="s">
        <v>207</v>
      </c>
      <c r="W1211">
        <v>1976.11</v>
      </c>
      <c r="X1211" t="s">
        <v>4193</v>
      </c>
      <c r="Z1211" t="s">
        <v>5242</v>
      </c>
      <c r="AC1211">
        <v>11</v>
      </c>
      <c r="AF1211">
        <v>6</v>
      </c>
      <c r="AG1211">
        <v>2</v>
      </c>
      <c r="AH1211">
        <v>1</v>
      </c>
      <c r="AI1211">
        <v>211.25</v>
      </c>
      <c r="AL1211" t="s">
        <v>6801</v>
      </c>
      <c r="AM1211">
        <v>45060</v>
      </c>
    </row>
    <row r="1212" spans="1:44">
      <c r="A1212" s="1">
        <f>HYPERLINK("https://lsnyc.legalserver.org/matter/dynamic-profile/view/1903665","19-1903665")</f>
        <v>0</v>
      </c>
      <c r="B1212" t="s">
        <v>120</v>
      </c>
      <c r="C1212" t="s">
        <v>286</v>
      </c>
      <c r="D1212" t="s">
        <v>182</v>
      </c>
      <c r="E1212" t="s">
        <v>1130</v>
      </c>
      <c r="F1212" t="s">
        <v>1994</v>
      </c>
      <c r="G1212" t="s">
        <v>2991</v>
      </c>
      <c r="H1212" t="s">
        <v>3427</v>
      </c>
      <c r="I1212" t="s">
        <v>3494</v>
      </c>
      <c r="J1212">
        <v>10314</v>
      </c>
      <c r="K1212" t="s">
        <v>3522</v>
      </c>
      <c r="L1212" t="s">
        <v>3525</v>
      </c>
      <c r="M1212" t="s">
        <v>3661</v>
      </c>
      <c r="N1212" t="s">
        <v>4110</v>
      </c>
      <c r="O1212" t="s">
        <v>4137</v>
      </c>
      <c r="P1212" t="s">
        <v>4145</v>
      </c>
      <c r="Q1212" t="s">
        <v>4147</v>
      </c>
      <c r="R1212" t="s">
        <v>3522</v>
      </c>
      <c r="T1212" t="s">
        <v>4156</v>
      </c>
      <c r="U1212" t="s">
        <v>4168</v>
      </c>
      <c r="V1212" t="s">
        <v>336</v>
      </c>
      <c r="W1212">
        <v>859</v>
      </c>
      <c r="X1212" t="s">
        <v>4195</v>
      </c>
      <c r="Y1212" t="s">
        <v>4201</v>
      </c>
      <c r="Z1212" t="s">
        <v>5243</v>
      </c>
      <c r="AB1212" t="s">
        <v>6561</v>
      </c>
      <c r="AC1212">
        <v>96</v>
      </c>
      <c r="AD1212" t="s">
        <v>6772</v>
      </c>
      <c r="AE1212" t="s">
        <v>6791</v>
      </c>
      <c r="AF1212">
        <v>7</v>
      </c>
      <c r="AG1212">
        <v>1</v>
      </c>
      <c r="AH1212">
        <v>0</v>
      </c>
      <c r="AI1212">
        <v>211.37</v>
      </c>
      <c r="AL1212" t="s">
        <v>6801</v>
      </c>
      <c r="AM1212">
        <v>26400</v>
      </c>
      <c r="AO1212" t="s">
        <v>6920</v>
      </c>
      <c r="AP1212" t="s">
        <v>6929</v>
      </c>
      <c r="AQ1212" t="s">
        <v>6945</v>
      </c>
      <c r="AR1212" t="s">
        <v>6967</v>
      </c>
    </row>
    <row r="1213" spans="1:44">
      <c r="A1213" s="1">
        <f>HYPERLINK("https://lsnyc.legalserver.org/matter/dynamic-profile/view/1907750","19-1907750")</f>
        <v>0</v>
      </c>
      <c r="B1213" t="s">
        <v>151</v>
      </c>
      <c r="C1213" t="s">
        <v>222</v>
      </c>
      <c r="E1213" t="s">
        <v>1131</v>
      </c>
      <c r="F1213" t="s">
        <v>1995</v>
      </c>
      <c r="G1213" t="s">
        <v>2992</v>
      </c>
      <c r="H1213">
        <v>506</v>
      </c>
      <c r="I1213" t="s">
        <v>3488</v>
      </c>
      <c r="J1213">
        <v>11355</v>
      </c>
      <c r="K1213" t="s">
        <v>3522</v>
      </c>
      <c r="L1213" t="s">
        <v>3525</v>
      </c>
      <c r="M1213" t="s">
        <v>4024</v>
      </c>
      <c r="N1213" t="s">
        <v>4109</v>
      </c>
      <c r="O1213" t="s">
        <v>4134</v>
      </c>
      <c r="Q1213" t="s">
        <v>4147</v>
      </c>
      <c r="R1213" t="s">
        <v>3523</v>
      </c>
      <c r="T1213" t="s">
        <v>4156</v>
      </c>
      <c r="U1213" t="s">
        <v>4169</v>
      </c>
      <c r="V1213" t="s">
        <v>222</v>
      </c>
      <c r="W1213">
        <v>1325</v>
      </c>
      <c r="X1213" t="s">
        <v>4192</v>
      </c>
      <c r="Y1213" t="s">
        <v>4201</v>
      </c>
      <c r="Z1213" t="s">
        <v>5244</v>
      </c>
      <c r="AB1213" t="s">
        <v>6562</v>
      </c>
      <c r="AC1213">
        <v>47</v>
      </c>
      <c r="AD1213" t="s">
        <v>5524</v>
      </c>
      <c r="AE1213" t="s">
        <v>3526</v>
      </c>
      <c r="AF1213">
        <v>3</v>
      </c>
      <c r="AG1213">
        <v>2</v>
      </c>
      <c r="AH1213">
        <v>0</v>
      </c>
      <c r="AI1213">
        <v>211.71</v>
      </c>
      <c r="AJ1213" t="s">
        <v>234</v>
      </c>
      <c r="AK1213" t="s">
        <v>6799</v>
      </c>
      <c r="AL1213" t="s">
        <v>6801</v>
      </c>
      <c r="AM1213">
        <v>35800</v>
      </c>
      <c r="AP1213" t="s">
        <v>4200</v>
      </c>
    </row>
    <row r="1214" spans="1:44">
      <c r="A1214" s="1">
        <f>HYPERLINK("https://lsnyc.legalserver.org/matter/dynamic-profile/view/1907227","19-1907227")</f>
        <v>0</v>
      </c>
      <c r="B1214" t="s">
        <v>60</v>
      </c>
      <c r="C1214" t="s">
        <v>268</v>
      </c>
      <c r="E1214" t="s">
        <v>1132</v>
      </c>
      <c r="F1214" t="s">
        <v>1374</v>
      </c>
      <c r="G1214" t="s">
        <v>2993</v>
      </c>
      <c r="H1214" t="s">
        <v>3173</v>
      </c>
      <c r="I1214" t="s">
        <v>3490</v>
      </c>
      <c r="J1214">
        <v>11233</v>
      </c>
      <c r="K1214" t="s">
        <v>3522</v>
      </c>
      <c r="L1214" t="s">
        <v>3525</v>
      </c>
      <c r="M1214" t="s">
        <v>4025</v>
      </c>
      <c r="N1214" t="s">
        <v>4109</v>
      </c>
      <c r="O1214" t="s">
        <v>4134</v>
      </c>
      <c r="Q1214" t="s">
        <v>4147</v>
      </c>
      <c r="R1214" t="s">
        <v>3523</v>
      </c>
      <c r="T1214" t="s">
        <v>4156</v>
      </c>
      <c r="V1214" t="s">
        <v>4175</v>
      </c>
      <c r="W1214">
        <v>868.12</v>
      </c>
      <c r="X1214" t="s">
        <v>4193</v>
      </c>
      <c r="Y1214" t="s">
        <v>4200</v>
      </c>
      <c r="Z1214" t="s">
        <v>5245</v>
      </c>
      <c r="AB1214" t="s">
        <v>6563</v>
      </c>
      <c r="AC1214">
        <v>32</v>
      </c>
      <c r="AD1214" t="s">
        <v>6772</v>
      </c>
      <c r="AE1214" t="s">
        <v>3526</v>
      </c>
      <c r="AF1214">
        <v>7</v>
      </c>
      <c r="AG1214">
        <v>1</v>
      </c>
      <c r="AH1214">
        <v>1</v>
      </c>
      <c r="AI1214">
        <v>211.71</v>
      </c>
      <c r="AJ1214" t="s">
        <v>208</v>
      </c>
      <c r="AK1214" t="s">
        <v>6799</v>
      </c>
      <c r="AL1214" t="s">
        <v>6801</v>
      </c>
      <c r="AM1214">
        <v>35800</v>
      </c>
    </row>
    <row r="1215" spans="1:44">
      <c r="A1215" s="1">
        <f>HYPERLINK("https://lsnyc.legalserver.org/matter/dynamic-profile/view/1905411","19-1905411")</f>
        <v>0</v>
      </c>
      <c r="B1215" t="s">
        <v>83</v>
      </c>
      <c r="C1215" t="s">
        <v>266</v>
      </c>
      <c r="D1215" t="s">
        <v>237</v>
      </c>
      <c r="E1215" t="s">
        <v>520</v>
      </c>
      <c r="F1215" t="s">
        <v>1996</v>
      </c>
      <c r="G1215" t="s">
        <v>2994</v>
      </c>
      <c r="H1215" t="s">
        <v>3161</v>
      </c>
      <c r="I1215" t="s">
        <v>3493</v>
      </c>
      <c r="J1215">
        <v>10457</v>
      </c>
      <c r="K1215" t="s">
        <v>3522</v>
      </c>
      <c r="L1215" t="s">
        <v>3525</v>
      </c>
      <c r="M1215" t="s">
        <v>4026</v>
      </c>
      <c r="N1215" t="s">
        <v>4107</v>
      </c>
      <c r="O1215" t="s">
        <v>4135</v>
      </c>
      <c r="P1215" t="s">
        <v>4142</v>
      </c>
      <c r="Q1215" t="s">
        <v>4147</v>
      </c>
      <c r="R1215" t="s">
        <v>3523</v>
      </c>
      <c r="T1215" t="s">
        <v>4156</v>
      </c>
      <c r="V1215" t="s">
        <v>359</v>
      </c>
      <c r="W1215">
        <v>924.22</v>
      </c>
      <c r="X1215" t="s">
        <v>4194</v>
      </c>
      <c r="Y1215" t="s">
        <v>4206</v>
      </c>
      <c r="Z1215" t="s">
        <v>5246</v>
      </c>
      <c r="AC1215">
        <v>10</v>
      </c>
      <c r="AD1215" t="s">
        <v>6772</v>
      </c>
      <c r="AE1215" t="s">
        <v>3526</v>
      </c>
      <c r="AF1215">
        <v>28</v>
      </c>
      <c r="AG1215">
        <v>2</v>
      </c>
      <c r="AH1215">
        <v>0</v>
      </c>
      <c r="AI1215">
        <v>212.89</v>
      </c>
      <c r="AL1215" t="s">
        <v>6802</v>
      </c>
      <c r="AM1215">
        <v>36000</v>
      </c>
    </row>
    <row r="1216" spans="1:44">
      <c r="A1216" s="1">
        <f>HYPERLINK("https://lsnyc.legalserver.org/matter/dynamic-profile/view/1915721","19-1915721")</f>
        <v>0</v>
      </c>
      <c r="B1216" t="s">
        <v>94</v>
      </c>
      <c r="C1216" t="s">
        <v>248</v>
      </c>
      <c r="E1216" t="s">
        <v>466</v>
      </c>
      <c r="F1216" t="s">
        <v>1997</v>
      </c>
      <c r="G1216" t="s">
        <v>2480</v>
      </c>
      <c r="H1216" t="s">
        <v>3212</v>
      </c>
      <c r="I1216" t="s">
        <v>3495</v>
      </c>
      <c r="J1216">
        <v>10035</v>
      </c>
      <c r="K1216" t="s">
        <v>3522</v>
      </c>
      <c r="L1216" t="s">
        <v>3525</v>
      </c>
      <c r="N1216" t="s">
        <v>4110</v>
      </c>
      <c r="O1216" t="s">
        <v>4137</v>
      </c>
      <c r="Q1216" t="s">
        <v>4147</v>
      </c>
      <c r="R1216" t="s">
        <v>3522</v>
      </c>
      <c r="T1216" t="s">
        <v>4156</v>
      </c>
      <c r="U1216" t="s">
        <v>4168</v>
      </c>
      <c r="V1216" t="s">
        <v>248</v>
      </c>
      <c r="W1216">
        <v>900</v>
      </c>
      <c r="X1216" t="s">
        <v>4196</v>
      </c>
      <c r="Y1216" t="s">
        <v>4201</v>
      </c>
      <c r="Z1216" t="s">
        <v>5247</v>
      </c>
      <c r="AC1216">
        <v>60</v>
      </c>
      <c r="AD1216" t="s">
        <v>6772</v>
      </c>
      <c r="AE1216" t="s">
        <v>3526</v>
      </c>
      <c r="AF1216">
        <v>15</v>
      </c>
      <c r="AG1216">
        <v>1</v>
      </c>
      <c r="AH1216">
        <v>1</v>
      </c>
      <c r="AI1216">
        <v>212.89</v>
      </c>
      <c r="AL1216" t="s">
        <v>6801</v>
      </c>
      <c r="AM1216">
        <v>36000</v>
      </c>
    </row>
    <row r="1217" spans="1:44">
      <c r="A1217" s="1">
        <f>HYPERLINK("https://lsnyc.legalserver.org/matter/dynamic-profile/view/1914840","19-1914840")</f>
        <v>0</v>
      </c>
      <c r="B1217" t="s">
        <v>94</v>
      </c>
      <c r="C1217" t="s">
        <v>301</v>
      </c>
      <c r="E1217" t="s">
        <v>466</v>
      </c>
      <c r="F1217" t="s">
        <v>1997</v>
      </c>
      <c r="G1217" t="s">
        <v>2480</v>
      </c>
      <c r="H1217" t="s">
        <v>3212</v>
      </c>
      <c r="I1217" t="s">
        <v>3495</v>
      </c>
      <c r="J1217">
        <v>10035</v>
      </c>
      <c r="K1217" t="s">
        <v>3522</v>
      </c>
      <c r="L1217" t="s">
        <v>3525</v>
      </c>
      <c r="N1217" t="s">
        <v>4108</v>
      </c>
      <c r="O1217" t="s">
        <v>4134</v>
      </c>
      <c r="Q1217" t="s">
        <v>4147</v>
      </c>
      <c r="R1217" t="s">
        <v>3522</v>
      </c>
      <c r="T1217" t="s">
        <v>4156</v>
      </c>
      <c r="U1217" t="s">
        <v>4168</v>
      </c>
      <c r="V1217" t="s">
        <v>267</v>
      </c>
      <c r="W1217">
        <v>900</v>
      </c>
      <c r="X1217" t="s">
        <v>4196</v>
      </c>
      <c r="Y1217" t="s">
        <v>4201</v>
      </c>
      <c r="Z1217" t="s">
        <v>5247</v>
      </c>
      <c r="AC1217">
        <v>60</v>
      </c>
      <c r="AD1217" t="s">
        <v>6772</v>
      </c>
      <c r="AE1217" t="s">
        <v>3526</v>
      </c>
      <c r="AF1217">
        <v>15</v>
      </c>
      <c r="AG1217">
        <v>1</v>
      </c>
      <c r="AH1217">
        <v>1</v>
      </c>
      <c r="AI1217">
        <v>212.89</v>
      </c>
      <c r="AL1217" t="s">
        <v>6801</v>
      </c>
      <c r="AM1217">
        <v>36000</v>
      </c>
    </row>
    <row r="1218" spans="1:44">
      <c r="A1218" s="1">
        <f>HYPERLINK("https://lsnyc.legalserver.org/matter/dynamic-profile/view/1904164","19-1904164")</f>
        <v>0</v>
      </c>
      <c r="B1218" t="s">
        <v>143</v>
      </c>
      <c r="C1218" t="s">
        <v>264</v>
      </c>
      <c r="E1218" t="s">
        <v>1133</v>
      </c>
      <c r="F1218" t="s">
        <v>1323</v>
      </c>
      <c r="G1218" t="s">
        <v>2374</v>
      </c>
      <c r="H1218" t="s">
        <v>3428</v>
      </c>
      <c r="I1218" t="s">
        <v>3494</v>
      </c>
      <c r="J1218">
        <v>10301</v>
      </c>
      <c r="K1218" t="s">
        <v>3522</v>
      </c>
      <c r="L1218" t="s">
        <v>3525</v>
      </c>
      <c r="M1218" t="s">
        <v>4027</v>
      </c>
      <c r="N1218" t="s">
        <v>4109</v>
      </c>
      <c r="O1218" t="s">
        <v>4134</v>
      </c>
      <c r="Q1218" t="s">
        <v>4147</v>
      </c>
      <c r="R1218" t="s">
        <v>3523</v>
      </c>
      <c r="T1218" t="s">
        <v>4161</v>
      </c>
      <c r="U1218" t="s">
        <v>4168</v>
      </c>
      <c r="V1218" t="s">
        <v>246</v>
      </c>
      <c r="W1218">
        <v>867</v>
      </c>
      <c r="X1218" t="s">
        <v>4195</v>
      </c>
      <c r="Y1218" t="s">
        <v>4203</v>
      </c>
      <c r="Z1218" t="s">
        <v>5248</v>
      </c>
      <c r="AB1218" t="s">
        <v>6564</v>
      </c>
      <c r="AC1218">
        <v>227</v>
      </c>
      <c r="AD1218" t="s">
        <v>6778</v>
      </c>
      <c r="AE1218" t="s">
        <v>6786</v>
      </c>
      <c r="AF1218">
        <v>25</v>
      </c>
      <c r="AG1218">
        <v>2</v>
      </c>
      <c r="AH1218">
        <v>1</v>
      </c>
      <c r="AI1218">
        <v>213.31</v>
      </c>
      <c r="AL1218" t="s">
        <v>6801</v>
      </c>
      <c r="AM1218">
        <v>45500.04</v>
      </c>
    </row>
    <row r="1219" spans="1:44">
      <c r="A1219" s="1">
        <f>HYPERLINK("https://lsnyc.legalserver.org/matter/dynamic-profile/view/1901828","19-1901828")</f>
        <v>0</v>
      </c>
      <c r="B1219" t="s">
        <v>53</v>
      </c>
      <c r="C1219" t="s">
        <v>307</v>
      </c>
      <c r="E1219" t="s">
        <v>1134</v>
      </c>
      <c r="F1219" t="s">
        <v>1998</v>
      </c>
      <c r="G1219" t="s">
        <v>2995</v>
      </c>
      <c r="H1219" t="s">
        <v>3429</v>
      </c>
      <c r="I1219" t="s">
        <v>3490</v>
      </c>
      <c r="J1219">
        <v>11225</v>
      </c>
      <c r="K1219" t="s">
        <v>3522</v>
      </c>
      <c r="L1219" t="s">
        <v>3525</v>
      </c>
      <c r="N1219" t="s">
        <v>4116</v>
      </c>
      <c r="O1219" t="s">
        <v>4133</v>
      </c>
      <c r="Q1219" t="s">
        <v>4147</v>
      </c>
      <c r="R1219" t="s">
        <v>3523</v>
      </c>
      <c r="T1219" t="s">
        <v>4156</v>
      </c>
      <c r="V1219" t="s">
        <v>336</v>
      </c>
      <c r="W1219">
        <v>0</v>
      </c>
      <c r="X1219" t="s">
        <v>4193</v>
      </c>
      <c r="Z1219" t="s">
        <v>5249</v>
      </c>
      <c r="AB1219" t="s">
        <v>6565</v>
      </c>
      <c r="AC1219">
        <v>21</v>
      </c>
      <c r="AF1219">
        <v>0</v>
      </c>
      <c r="AG1219">
        <v>2</v>
      </c>
      <c r="AH1219">
        <v>0</v>
      </c>
      <c r="AI1219">
        <v>214.67</v>
      </c>
      <c r="AJ1219" t="s">
        <v>255</v>
      </c>
      <c r="AK1219" t="s">
        <v>6799</v>
      </c>
      <c r="AL1219" t="s">
        <v>6801</v>
      </c>
      <c r="AM1219">
        <v>36300</v>
      </c>
      <c r="AP1219" t="s">
        <v>4200</v>
      </c>
      <c r="AQ1219" t="s">
        <v>6945</v>
      </c>
      <c r="AR1219" t="s">
        <v>7013</v>
      </c>
    </row>
    <row r="1220" spans="1:44">
      <c r="A1220" s="1">
        <f>HYPERLINK("https://lsnyc.legalserver.org/matter/dynamic-profile/view/1912866","19-1912866")</f>
        <v>0</v>
      </c>
      <c r="B1220" t="s">
        <v>45</v>
      </c>
      <c r="C1220" t="s">
        <v>253</v>
      </c>
      <c r="E1220" t="s">
        <v>423</v>
      </c>
      <c r="F1220" t="s">
        <v>1999</v>
      </c>
      <c r="G1220" t="s">
        <v>2165</v>
      </c>
      <c r="H1220" t="s">
        <v>3149</v>
      </c>
      <c r="I1220" t="s">
        <v>3479</v>
      </c>
      <c r="J1220">
        <v>11691</v>
      </c>
      <c r="K1220" t="s">
        <v>3522</v>
      </c>
      <c r="L1220" t="s">
        <v>3525</v>
      </c>
      <c r="M1220" t="s">
        <v>3679</v>
      </c>
      <c r="N1220" t="s">
        <v>4108</v>
      </c>
      <c r="O1220" t="s">
        <v>4134</v>
      </c>
      <c r="Q1220" t="s">
        <v>4147</v>
      </c>
      <c r="R1220" t="s">
        <v>3522</v>
      </c>
      <c r="T1220" t="s">
        <v>4156</v>
      </c>
      <c r="U1220" t="s">
        <v>4168</v>
      </c>
      <c r="V1220" t="s">
        <v>253</v>
      </c>
      <c r="W1220">
        <v>637</v>
      </c>
      <c r="X1220" t="s">
        <v>4192</v>
      </c>
      <c r="Y1220" t="s">
        <v>4198</v>
      </c>
      <c r="Z1220" t="s">
        <v>5250</v>
      </c>
      <c r="AB1220" t="s">
        <v>6566</v>
      </c>
      <c r="AC1220">
        <v>43</v>
      </c>
      <c r="AD1220" t="s">
        <v>6772</v>
      </c>
      <c r="AE1220" t="s">
        <v>3526</v>
      </c>
      <c r="AF1220">
        <v>17</v>
      </c>
      <c r="AG1220">
        <v>2</v>
      </c>
      <c r="AH1220">
        <v>0</v>
      </c>
      <c r="AI1220">
        <v>215.26</v>
      </c>
      <c r="AL1220" t="s">
        <v>6802</v>
      </c>
      <c r="AM1220">
        <v>36400</v>
      </c>
      <c r="AP1220" t="s">
        <v>4200</v>
      </c>
    </row>
    <row r="1221" spans="1:44">
      <c r="A1221" s="1">
        <f>HYPERLINK("https://lsnyc.legalserver.org/matter/dynamic-profile/view/1912648","19-1912648")</f>
        <v>0</v>
      </c>
      <c r="B1221" t="s">
        <v>45</v>
      </c>
      <c r="C1221" t="s">
        <v>178</v>
      </c>
      <c r="E1221" t="s">
        <v>423</v>
      </c>
      <c r="F1221" t="s">
        <v>1999</v>
      </c>
      <c r="G1221" t="s">
        <v>2165</v>
      </c>
      <c r="H1221" t="s">
        <v>3149</v>
      </c>
      <c r="I1221" t="s">
        <v>3479</v>
      </c>
      <c r="J1221">
        <v>11691</v>
      </c>
      <c r="K1221" t="s">
        <v>3522</v>
      </c>
      <c r="L1221" t="s">
        <v>3525</v>
      </c>
      <c r="M1221" t="s">
        <v>4028</v>
      </c>
      <c r="N1221" t="s">
        <v>4109</v>
      </c>
      <c r="O1221" t="s">
        <v>4134</v>
      </c>
      <c r="Q1221" t="s">
        <v>4147</v>
      </c>
      <c r="R1221" t="s">
        <v>3522</v>
      </c>
      <c r="T1221" t="s">
        <v>4156</v>
      </c>
      <c r="U1221" t="s">
        <v>4168</v>
      </c>
      <c r="V1221" t="s">
        <v>178</v>
      </c>
      <c r="W1221">
        <v>637</v>
      </c>
      <c r="X1221" t="s">
        <v>4192</v>
      </c>
      <c r="Y1221" t="s">
        <v>4198</v>
      </c>
      <c r="Z1221" t="s">
        <v>5250</v>
      </c>
      <c r="AB1221" t="s">
        <v>6566</v>
      </c>
      <c r="AC1221">
        <v>43</v>
      </c>
      <c r="AD1221" t="s">
        <v>6772</v>
      </c>
      <c r="AE1221" t="s">
        <v>3526</v>
      </c>
      <c r="AF1221">
        <v>17</v>
      </c>
      <c r="AG1221">
        <v>2</v>
      </c>
      <c r="AH1221">
        <v>0</v>
      </c>
      <c r="AI1221">
        <v>215.26</v>
      </c>
      <c r="AJ1221" t="s">
        <v>269</v>
      </c>
      <c r="AK1221" t="s">
        <v>6799</v>
      </c>
      <c r="AL1221" t="s">
        <v>6802</v>
      </c>
      <c r="AM1221">
        <v>36400</v>
      </c>
      <c r="AP1221" t="s">
        <v>4200</v>
      </c>
    </row>
    <row r="1222" spans="1:44">
      <c r="A1222" s="1">
        <f>HYPERLINK("https://lsnyc.legalserver.org/matter/dynamic-profile/view/1915245","19-1915245")</f>
        <v>0</v>
      </c>
      <c r="B1222" t="s">
        <v>45</v>
      </c>
      <c r="C1222" t="s">
        <v>204</v>
      </c>
      <c r="E1222" t="s">
        <v>423</v>
      </c>
      <c r="F1222" t="s">
        <v>1999</v>
      </c>
      <c r="G1222" t="s">
        <v>2165</v>
      </c>
      <c r="H1222" t="s">
        <v>3149</v>
      </c>
      <c r="I1222" t="s">
        <v>3479</v>
      </c>
      <c r="J1222">
        <v>11691</v>
      </c>
      <c r="K1222" t="s">
        <v>3522</v>
      </c>
      <c r="L1222" t="s">
        <v>3525</v>
      </c>
      <c r="N1222" t="s">
        <v>4109</v>
      </c>
      <c r="O1222" t="s">
        <v>4134</v>
      </c>
      <c r="Q1222" t="s">
        <v>4147</v>
      </c>
      <c r="R1222" t="s">
        <v>3523</v>
      </c>
      <c r="T1222" t="s">
        <v>4156</v>
      </c>
      <c r="V1222" t="s">
        <v>204</v>
      </c>
      <c r="W1222">
        <v>637</v>
      </c>
      <c r="X1222" t="s">
        <v>4192</v>
      </c>
      <c r="Y1222" t="s">
        <v>4198</v>
      </c>
      <c r="Z1222" t="s">
        <v>5250</v>
      </c>
      <c r="AB1222" t="s">
        <v>6566</v>
      </c>
      <c r="AC1222">
        <v>43</v>
      </c>
      <c r="AD1222" t="s">
        <v>6772</v>
      </c>
      <c r="AE1222" t="s">
        <v>3526</v>
      </c>
      <c r="AF1222">
        <v>17</v>
      </c>
      <c r="AG1222">
        <v>2</v>
      </c>
      <c r="AH1222">
        <v>0</v>
      </c>
      <c r="AI1222">
        <v>215.26</v>
      </c>
      <c r="AJ1222" t="s">
        <v>208</v>
      </c>
      <c r="AK1222" t="s">
        <v>6799</v>
      </c>
      <c r="AL1222" t="s">
        <v>6802</v>
      </c>
      <c r="AM1222">
        <v>36400</v>
      </c>
    </row>
    <row r="1223" spans="1:44">
      <c r="A1223" s="1">
        <f>HYPERLINK("https://lsnyc.legalserver.org/matter/dynamic-profile/view/1909505","19-1909505")</f>
        <v>0</v>
      </c>
      <c r="B1223" t="s">
        <v>55</v>
      </c>
      <c r="C1223" t="s">
        <v>184</v>
      </c>
      <c r="D1223" t="s">
        <v>213</v>
      </c>
      <c r="E1223" t="s">
        <v>1135</v>
      </c>
      <c r="F1223" t="s">
        <v>2000</v>
      </c>
      <c r="G1223" t="s">
        <v>2996</v>
      </c>
      <c r="H1223" t="s">
        <v>3131</v>
      </c>
      <c r="I1223" t="s">
        <v>3490</v>
      </c>
      <c r="J1223">
        <v>11207</v>
      </c>
      <c r="K1223" t="s">
        <v>3522</v>
      </c>
      <c r="L1223" t="s">
        <v>3525</v>
      </c>
      <c r="M1223" t="s">
        <v>4029</v>
      </c>
      <c r="N1223" t="s">
        <v>4109</v>
      </c>
      <c r="O1223" t="s">
        <v>4134</v>
      </c>
      <c r="P1223" t="s">
        <v>4140</v>
      </c>
      <c r="Q1223" t="s">
        <v>4147</v>
      </c>
      <c r="R1223" t="s">
        <v>3523</v>
      </c>
      <c r="T1223" t="s">
        <v>4156</v>
      </c>
      <c r="U1223" t="s">
        <v>4168</v>
      </c>
      <c r="V1223" t="s">
        <v>230</v>
      </c>
      <c r="W1223">
        <v>538</v>
      </c>
      <c r="X1223" t="s">
        <v>4193</v>
      </c>
      <c r="Y1223" t="s">
        <v>4200</v>
      </c>
      <c r="Z1223" t="s">
        <v>5251</v>
      </c>
      <c r="AB1223" t="s">
        <v>6567</v>
      </c>
      <c r="AC1223">
        <v>60</v>
      </c>
      <c r="AD1223" t="s">
        <v>6774</v>
      </c>
      <c r="AE1223" t="s">
        <v>4200</v>
      </c>
      <c r="AF1223">
        <v>20</v>
      </c>
      <c r="AG1223">
        <v>2</v>
      </c>
      <c r="AH1223">
        <v>1</v>
      </c>
      <c r="AI1223">
        <v>215.66</v>
      </c>
      <c r="AJ1223" t="s">
        <v>269</v>
      </c>
      <c r="AK1223" t="s">
        <v>6799</v>
      </c>
      <c r="AL1223" t="s">
        <v>6801</v>
      </c>
      <c r="AM1223">
        <v>46000</v>
      </c>
    </row>
    <row r="1224" spans="1:44">
      <c r="A1224" s="1">
        <f>HYPERLINK("https://lsnyc.legalserver.org/matter/dynamic-profile/view/1911209","19-1911209")</f>
        <v>0</v>
      </c>
      <c r="B1224" t="s">
        <v>124</v>
      </c>
      <c r="C1224" t="s">
        <v>212</v>
      </c>
      <c r="D1224" t="s">
        <v>324</v>
      </c>
      <c r="E1224" t="s">
        <v>449</v>
      </c>
      <c r="F1224" t="s">
        <v>2001</v>
      </c>
      <c r="G1224" t="s">
        <v>2969</v>
      </c>
      <c r="H1224" t="s">
        <v>3300</v>
      </c>
      <c r="I1224" t="s">
        <v>3493</v>
      </c>
      <c r="J1224">
        <v>10452</v>
      </c>
      <c r="K1224" t="s">
        <v>3522</v>
      </c>
      <c r="L1224" t="s">
        <v>3525</v>
      </c>
      <c r="N1224" t="s">
        <v>4113</v>
      </c>
      <c r="O1224" t="s">
        <v>4132</v>
      </c>
      <c r="P1224" t="s">
        <v>4139</v>
      </c>
      <c r="Q1224" t="s">
        <v>4147</v>
      </c>
      <c r="R1224" t="s">
        <v>3523</v>
      </c>
      <c r="T1224" t="s">
        <v>4156</v>
      </c>
      <c r="V1224" t="s">
        <v>212</v>
      </c>
      <c r="W1224">
        <v>0</v>
      </c>
      <c r="X1224" t="s">
        <v>4194</v>
      </c>
      <c r="Z1224" t="s">
        <v>5252</v>
      </c>
      <c r="AB1224" t="s">
        <v>6568</v>
      </c>
      <c r="AC1224">
        <v>0</v>
      </c>
      <c r="AE1224" t="s">
        <v>3526</v>
      </c>
      <c r="AF1224">
        <v>0</v>
      </c>
      <c r="AG1224">
        <v>2</v>
      </c>
      <c r="AH1224">
        <v>1</v>
      </c>
      <c r="AI1224">
        <v>215.66</v>
      </c>
      <c r="AK1224" t="s">
        <v>6800</v>
      </c>
      <c r="AL1224" t="s">
        <v>6801</v>
      </c>
      <c r="AM1224">
        <v>46000</v>
      </c>
    </row>
    <row r="1225" spans="1:44">
      <c r="A1225" s="1">
        <f>HYPERLINK("https://lsnyc.legalserver.org/matter/dynamic-profile/view/1906258","19-1906258")</f>
        <v>0</v>
      </c>
      <c r="B1225" t="s">
        <v>66</v>
      </c>
      <c r="C1225" t="s">
        <v>276</v>
      </c>
      <c r="E1225" t="s">
        <v>1136</v>
      </c>
      <c r="F1225" t="s">
        <v>2002</v>
      </c>
      <c r="G1225" t="s">
        <v>2997</v>
      </c>
      <c r="H1225">
        <v>6</v>
      </c>
      <c r="I1225" t="s">
        <v>3490</v>
      </c>
      <c r="J1225">
        <v>11230</v>
      </c>
      <c r="K1225" t="s">
        <v>3522</v>
      </c>
      <c r="L1225" t="s">
        <v>3525</v>
      </c>
      <c r="N1225" t="s">
        <v>4108</v>
      </c>
      <c r="O1225" t="s">
        <v>4134</v>
      </c>
      <c r="Q1225" t="s">
        <v>4147</v>
      </c>
      <c r="R1225" t="s">
        <v>3523</v>
      </c>
      <c r="T1225" t="s">
        <v>4156</v>
      </c>
      <c r="V1225" t="s">
        <v>276</v>
      </c>
      <c r="W1225">
        <v>0</v>
      </c>
      <c r="X1225" t="s">
        <v>4193</v>
      </c>
      <c r="Z1225" t="s">
        <v>5253</v>
      </c>
      <c r="AB1225" t="s">
        <v>6569</v>
      </c>
      <c r="AC1225">
        <v>6</v>
      </c>
      <c r="AD1225" t="s">
        <v>6772</v>
      </c>
      <c r="AF1225">
        <v>0</v>
      </c>
      <c r="AG1225">
        <v>2</v>
      </c>
      <c r="AH1225">
        <v>1</v>
      </c>
      <c r="AI1225">
        <v>216.6</v>
      </c>
      <c r="AJ1225" t="s">
        <v>234</v>
      </c>
      <c r="AK1225" t="s">
        <v>6799</v>
      </c>
      <c r="AL1225" t="s">
        <v>6802</v>
      </c>
      <c r="AM1225">
        <v>46200</v>
      </c>
    </row>
    <row r="1226" spans="1:44">
      <c r="A1226" s="1">
        <f>HYPERLINK("https://lsnyc.legalserver.org/matter/dynamic-profile/view/1912911","19-1912911")</f>
        <v>0</v>
      </c>
      <c r="B1226" t="s">
        <v>94</v>
      </c>
      <c r="C1226" t="s">
        <v>196</v>
      </c>
      <c r="E1226" t="s">
        <v>1137</v>
      </c>
      <c r="F1226" t="s">
        <v>492</v>
      </c>
      <c r="G1226" t="s">
        <v>2998</v>
      </c>
      <c r="H1226" t="s">
        <v>3430</v>
      </c>
      <c r="I1226" t="s">
        <v>3495</v>
      </c>
      <c r="J1226">
        <v>10029</v>
      </c>
      <c r="K1226" t="s">
        <v>3522</v>
      </c>
      <c r="L1226" t="s">
        <v>3525</v>
      </c>
      <c r="M1226" t="s">
        <v>4030</v>
      </c>
      <c r="N1226" t="s">
        <v>4107</v>
      </c>
      <c r="O1226" t="s">
        <v>4136</v>
      </c>
      <c r="Q1226" t="s">
        <v>4147</v>
      </c>
      <c r="R1226" t="s">
        <v>3523</v>
      </c>
      <c r="T1226" t="s">
        <v>4161</v>
      </c>
      <c r="U1226" t="s">
        <v>4168</v>
      </c>
      <c r="V1226" t="s">
        <v>199</v>
      </c>
      <c r="W1226">
        <v>2900</v>
      </c>
      <c r="X1226" t="s">
        <v>4196</v>
      </c>
      <c r="Y1226" t="s">
        <v>4206</v>
      </c>
      <c r="Z1226" t="s">
        <v>5254</v>
      </c>
      <c r="AB1226" t="s">
        <v>6570</v>
      </c>
      <c r="AC1226">
        <v>15</v>
      </c>
      <c r="AD1226" t="s">
        <v>6781</v>
      </c>
      <c r="AE1226" t="s">
        <v>6786</v>
      </c>
      <c r="AF1226">
        <v>5</v>
      </c>
      <c r="AG1226">
        <v>2</v>
      </c>
      <c r="AH1226">
        <v>0</v>
      </c>
      <c r="AI1226">
        <v>218.21</v>
      </c>
      <c r="AL1226" t="s">
        <v>6801</v>
      </c>
      <c r="AM1226">
        <v>36900</v>
      </c>
    </row>
    <row r="1227" spans="1:44">
      <c r="A1227" s="1">
        <f>HYPERLINK("https://lsnyc.legalserver.org/matter/dynamic-profile/view/1906473","19-1906473")</f>
        <v>0</v>
      </c>
      <c r="B1227" t="s">
        <v>60</v>
      </c>
      <c r="C1227" t="s">
        <v>320</v>
      </c>
      <c r="E1227" t="s">
        <v>1138</v>
      </c>
      <c r="F1227" t="s">
        <v>954</v>
      </c>
      <c r="G1227" t="s">
        <v>2999</v>
      </c>
      <c r="H1227" t="s">
        <v>3162</v>
      </c>
      <c r="I1227" t="s">
        <v>3490</v>
      </c>
      <c r="J1227">
        <v>11208</v>
      </c>
      <c r="K1227" t="s">
        <v>3522</v>
      </c>
      <c r="L1227" t="s">
        <v>3525</v>
      </c>
      <c r="M1227" t="s">
        <v>4031</v>
      </c>
      <c r="N1227" t="s">
        <v>4109</v>
      </c>
      <c r="O1227" t="s">
        <v>4134</v>
      </c>
      <c r="Q1227" t="s">
        <v>4147</v>
      </c>
      <c r="R1227" t="s">
        <v>3523</v>
      </c>
      <c r="T1227" t="s">
        <v>4156</v>
      </c>
      <c r="U1227" t="s">
        <v>4168</v>
      </c>
      <c r="V1227" t="s">
        <v>276</v>
      </c>
      <c r="W1227">
        <v>913</v>
      </c>
      <c r="X1227" t="s">
        <v>4193</v>
      </c>
      <c r="Y1227" t="s">
        <v>4201</v>
      </c>
      <c r="Z1227" t="s">
        <v>5255</v>
      </c>
      <c r="AA1227" t="s">
        <v>3526</v>
      </c>
      <c r="AB1227" t="s">
        <v>6571</v>
      </c>
      <c r="AC1227">
        <v>64</v>
      </c>
      <c r="AD1227" t="s">
        <v>6772</v>
      </c>
      <c r="AE1227" t="s">
        <v>3526</v>
      </c>
      <c r="AF1227">
        <v>5</v>
      </c>
      <c r="AG1227">
        <v>2</v>
      </c>
      <c r="AH1227">
        <v>0</v>
      </c>
      <c r="AI1227">
        <v>218.81</v>
      </c>
      <c r="AJ1227" t="s">
        <v>234</v>
      </c>
      <c r="AK1227" t="s">
        <v>6799</v>
      </c>
      <c r="AL1227" t="s">
        <v>6801</v>
      </c>
      <c r="AM1227">
        <v>37000</v>
      </c>
    </row>
    <row r="1228" spans="1:44">
      <c r="A1228" s="1">
        <f>HYPERLINK("https://lsnyc.legalserver.org/matter/dynamic-profile/view/1906610","19-1906610")</f>
        <v>0</v>
      </c>
      <c r="B1228" t="s">
        <v>112</v>
      </c>
      <c r="C1228" t="s">
        <v>250</v>
      </c>
      <c r="D1228" t="s">
        <v>250</v>
      </c>
      <c r="E1228" t="s">
        <v>594</v>
      </c>
      <c r="F1228" t="s">
        <v>2003</v>
      </c>
      <c r="G1228" t="s">
        <v>3000</v>
      </c>
      <c r="I1228" t="s">
        <v>3490</v>
      </c>
      <c r="J1228">
        <v>11206</v>
      </c>
      <c r="K1228" t="s">
        <v>3522</v>
      </c>
      <c r="L1228" t="s">
        <v>3525</v>
      </c>
      <c r="M1228" t="s">
        <v>4032</v>
      </c>
      <c r="N1228" t="s">
        <v>4109</v>
      </c>
      <c r="O1228" t="s">
        <v>4134</v>
      </c>
      <c r="P1228" t="s">
        <v>4139</v>
      </c>
      <c r="Q1228" t="s">
        <v>4147</v>
      </c>
      <c r="R1228" t="s">
        <v>3523</v>
      </c>
      <c r="T1228" t="s">
        <v>4156</v>
      </c>
      <c r="U1228" t="s">
        <v>4168</v>
      </c>
      <c r="V1228" t="s">
        <v>183</v>
      </c>
      <c r="W1228">
        <v>588</v>
      </c>
      <c r="X1228" t="s">
        <v>4193</v>
      </c>
      <c r="Y1228" t="s">
        <v>4201</v>
      </c>
      <c r="Z1228" t="s">
        <v>5256</v>
      </c>
      <c r="AB1228" t="s">
        <v>6572</v>
      </c>
      <c r="AC1228">
        <v>8</v>
      </c>
      <c r="AD1228" t="s">
        <v>6772</v>
      </c>
      <c r="AE1228" t="s">
        <v>3526</v>
      </c>
      <c r="AF1228">
        <v>4</v>
      </c>
      <c r="AG1228">
        <v>1</v>
      </c>
      <c r="AH1228">
        <v>1</v>
      </c>
      <c r="AI1228">
        <v>218.81</v>
      </c>
      <c r="AL1228" t="s">
        <v>6801</v>
      </c>
      <c r="AM1228">
        <v>37000</v>
      </c>
      <c r="AO1228" t="s">
        <v>6915</v>
      </c>
      <c r="AP1228" t="s">
        <v>6928</v>
      </c>
      <c r="AQ1228" t="s">
        <v>6945</v>
      </c>
      <c r="AR1228" t="s">
        <v>7014</v>
      </c>
    </row>
    <row r="1229" spans="1:44">
      <c r="A1229" s="1">
        <f>HYPERLINK("https://lsnyc.legalserver.org/matter/dynamic-profile/view/1906627","19-1906627")</f>
        <v>0</v>
      </c>
      <c r="B1229" t="s">
        <v>71</v>
      </c>
      <c r="C1229" t="s">
        <v>250</v>
      </c>
      <c r="E1229" t="s">
        <v>594</v>
      </c>
      <c r="F1229" t="s">
        <v>2003</v>
      </c>
      <c r="G1229" t="s">
        <v>3000</v>
      </c>
      <c r="I1229" t="s">
        <v>3490</v>
      </c>
      <c r="J1229">
        <v>11206</v>
      </c>
      <c r="K1229" t="s">
        <v>3522</v>
      </c>
      <c r="L1229" t="s">
        <v>3525</v>
      </c>
      <c r="M1229" t="s">
        <v>4033</v>
      </c>
      <c r="N1229" t="s">
        <v>4109</v>
      </c>
      <c r="O1229" t="s">
        <v>4134</v>
      </c>
      <c r="Q1229" t="s">
        <v>4147</v>
      </c>
      <c r="R1229" t="s">
        <v>3523</v>
      </c>
      <c r="T1229" t="s">
        <v>4156</v>
      </c>
      <c r="U1229" t="s">
        <v>4168</v>
      </c>
      <c r="V1229" t="s">
        <v>250</v>
      </c>
      <c r="W1229">
        <v>588</v>
      </c>
      <c r="X1229" t="s">
        <v>4193</v>
      </c>
      <c r="Y1229" t="s">
        <v>4201</v>
      </c>
      <c r="Z1229" t="s">
        <v>5256</v>
      </c>
      <c r="AA1229" t="s">
        <v>3526</v>
      </c>
      <c r="AB1229" t="s">
        <v>6572</v>
      </c>
      <c r="AC1229">
        <v>8</v>
      </c>
      <c r="AD1229" t="s">
        <v>6772</v>
      </c>
      <c r="AE1229" t="s">
        <v>3526</v>
      </c>
      <c r="AF1229">
        <v>4</v>
      </c>
      <c r="AG1229">
        <v>1</v>
      </c>
      <c r="AH1229">
        <v>1</v>
      </c>
      <c r="AI1229">
        <v>218.81</v>
      </c>
      <c r="AJ1229" t="s">
        <v>234</v>
      </c>
      <c r="AK1229" t="s">
        <v>6799</v>
      </c>
      <c r="AL1229" t="s">
        <v>6801</v>
      </c>
      <c r="AM1229">
        <v>37000</v>
      </c>
    </row>
    <row r="1230" spans="1:44">
      <c r="A1230" s="1">
        <f>HYPERLINK("https://lsnyc.legalserver.org/matter/dynamic-profile/view/1893014","19-1893014")</f>
        <v>0</v>
      </c>
      <c r="B1230" t="s">
        <v>149</v>
      </c>
      <c r="C1230" t="s">
        <v>299</v>
      </c>
      <c r="E1230" t="s">
        <v>1139</v>
      </c>
      <c r="F1230" t="s">
        <v>1978</v>
      </c>
      <c r="G1230" t="s">
        <v>3001</v>
      </c>
      <c r="H1230">
        <v>211</v>
      </c>
      <c r="I1230" t="s">
        <v>3494</v>
      </c>
      <c r="J1230">
        <v>10305</v>
      </c>
      <c r="K1230" t="s">
        <v>3522</v>
      </c>
      <c r="L1230" t="s">
        <v>3525</v>
      </c>
      <c r="M1230" t="s">
        <v>4034</v>
      </c>
      <c r="N1230" t="s">
        <v>4109</v>
      </c>
      <c r="O1230" t="s">
        <v>4134</v>
      </c>
      <c r="Q1230" t="s">
        <v>4147</v>
      </c>
      <c r="R1230" t="s">
        <v>3523</v>
      </c>
      <c r="T1230" t="s">
        <v>4156</v>
      </c>
      <c r="U1230" t="s">
        <v>4168</v>
      </c>
      <c r="V1230" t="s">
        <v>299</v>
      </c>
      <c r="W1230">
        <v>740</v>
      </c>
      <c r="X1230" t="s">
        <v>4195</v>
      </c>
      <c r="Y1230" t="s">
        <v>4212</v>
      </c>
      <c r="Z1230" t="s">
        <v>5257</v>
      </c>
      <c r="AB1230" t="s">
        <v>6573</v>
      </c>
      <c r="AC1230">
        <v>85</v>
      </c>
      <c r="AD1230" t="s">
        <v>6772</v>
      </c>
      <c r="AE1230" t="s">
        <v>6791</v>
      </c>
      <c r="AF1230">
        <v>9</v>
      </c>
      <c r="AG1230">
        <v>1</v>
      </c>
      <c r="AH1230">
        <v>0</v>
      </c>
      <c r="AI1230">
        <v>220.98</v>
      </c>
      <c r="AL1230" t="s">
        <v>6801</v>
      </c>
      <c r="AM1230">
        <v>27600</v>
      </c>
    </row>
    <row r="1231" spans="1:44">
      <c r="A1231" s="1">
        <f>HYPERLINK("https://lsnyc.legalserver.org/matter/dynamic-profile/view/1896451","19-1896451")</f>
        <v>0</v>
      </c>
      <c r="B1231" t="s">
        <v>49</v>
      </c>
      <c r="C1231" t="s">
        <v>365</v>
      </c>
      <c r="D1231" t="s">
        <v>206</v>
      </c>
      <c r="E1231" t="s">
        <v>1140</v>
      </c>
      <c r="F1231" t="s">
        <v>1802</v>
      </c>
      <c r="G1231" t="s">
        <v>3002</v>
      </c>
      <c r="H1231">
        <v>3</v>
      </c>
      <c r="I1231" t="s">
        <v>3490</v>
      </c>
      <c r="J1231">
        <v>11208</v>
      </c>
      <c r="K1231" t="s">
        <v>3522</v>
      </c>
      <c r="L1231" t="s">
        <v>3525</v>
      </c>
      <c r="M1231" t="s">
        <v>4035</v>
      </c>
      <c r="N1231" t="s">
        <v>4107</v>
      </c>
      <c r="O1231" t="s">
        <v>4134</v>
      </c>
      <c r="P1231" t="s">
        <v>4140</v>
      </c>
      <c r="Q1231" t="s">
        <v>4147</v>
      </c>
      <c r="R1231" t="s">
        <v>3523</v>
      </c>
      <c r="T1231" t="s">
        <v>4156</v>
      </c>
      <c r="U1231" t="s">
        <v>4168</v>
      </c>
      <c r="V1231" t="s">
        <v>336</v>
      </c>
      <c r="W1231">
        <v>900</v>
      </c>
      <c r="X1231" t="s">
        <v>4193</v>
      </c>
      <c r="Y1231" t="s">
        <v>4211</v>
      </c>
      <c r="Z1231" t="s">
        <v>5258</v>
      </c>
      <c r="AB1231" t="s">
        <v>6574</v>
      </c>
      <c r="AC1231">
        <v>3</v>
      </c>
      <c r="AD1231" t="s">
        <v>6771</v>
      </c>
      <c r="AE1231" t="s">
        <v>3526</v>
      </c>
      <c r="AF1231">
        <v>0</v>
      </c>
      <c r="AG1231">
        <v>2</v>
      </c>
      <c r="AH1231">
        <v>1</v>
      </c>
      <c r="AI1231">
        <v>221.28</v>
      </c>
      <c r="AL1231" t="s">
        <v>6801</v>
      </c>
      <c r="AM1231">
        <v>47200</v>
      </c>
      <c r="AQ1231" t="s">
        <v>6946</v>
      </c>
      <c r="AR1231" t="s">
        <v>7015</v>
      </c>
    </row>
    <row r="1232" spans="1:44">
      <c r="A1232" s="1">
        <f>HYPERLINK("https://lsnyc.legalserver.org/matter/dynamic-profile/view/1892387","19-1892387")</f>
        <v>0</v>
      </c>
      <c r="B1232" t="s">
        <v>69</v>
      </c>
      <c r="C1232" t="s">
        <v>366</v>
      </c>
      <c r="E1232" t="s">
        <v>1141</v>
      </c>
      <c r="F1232" t="s">
        <v>2004</v>
      </c>
      <c r="G1232" t="s">
        <v>3003</v>
      </c>
      <c r="H1232" t="s">
        <v>3272</v>
      </c>
      <c r="I1232" t="s">
        <v>3490</v>
      </c>
      <c r="J1232">
        <v>11233</v>
      </c>
      <c r="K1232" t="s">
        <v>3522</v>
      </c>
      <c r="L1232" t="s">
        <v>3525</v>
      </c>
      <c r="M1232" t="s">
        <v>4036</v>
      </c>
      <c r="N1232" t="s">
        <v>4109</v>
      </c>
      <c r="O1232" t="s">
        <v>4134</v>
      </c>
      <c r="Q1232" t="s">
        <v>4147</v>
      </c>
      <c r="R1232" t="s">
        <v>3523</v>
      </c>
      <c r="T1232" t="s">
        <v>4156</v>
      </c>
      <c r="U1232" t="s">
        <v>4168</v>
      </c>
      <c r="V1232" t="s">
        <v>336</v>
      </c>
      <c r="W1232">
        <v>1250</v>
      </c>
      <c r="X1232" t="s">
        <v>4193</v>
      </c>
      <c r="Y1232" t="s">
        <v>4201</v>
      </c>
      <c r="Z1232" t="s">
        <v>5259</v>
      </c>
      <c r="AB1232" t="s">
        <v>6575</v>
      </c>
      <c r="AC1232">
        <v>8</v>
      </c>
      <c r="AD1232" t="s">
        <v>6772</v>
      </c>
      <c r="AE1232" t="s">
        <v>6786</v>
      </c>
      <c r="AF1232">
        <v>15</v>
      </c>
      <c r="AG1232">
        <v>3</v>
      </c>
      <c r="AH1232">
        <v>1</v>
      </c>
      <c r="AI1232">
        <v>221.36</v>
      </c>
      <c r="AL1232" t="s">
        <v>6801</v>
      </c>
      <c r="AM1232">
        <v>57000</v>
      </c>
    </row>
    <row r="1233" spans="1:41">
      <c r="A1233" s="1">
        <f>HYPERLINK("https://lsnyc.legalserver.org/matter/dynamic-profile/view/1906747","19-1906747")</f>
        <v>0</v>
      </c>
      <c r="B1233" t="s">
        <v>93</v>
      </c>
      <c r="C1233" t="s">
        <v>235</v>
      </c>
      <c r="D1233" t="s">
        <v>235</v>
      </c>
      <c r="E1233" t="s">
        <v>515</v>
      </c>
      <c r="F1233" t="s">
        <v>2005</v>
      </c>
      <c r="G1233" t="s">
        <v>3004</v>
      </c>
      <c r="H1233" t="s">
        <v>3431</v>
      </c>
      <c r="I1233" t="s">
        <v>3495</v>
      </c>
      <c r="J1233">
        <v>10034</v>
      </c>
      <c r="K1233" t="s">
        <v>3522</v>
      </c>
      <c r="L1233" t="s">
        <v>3525</v>
      </c>
      <c r="M1233" t="s">
        <v>4037</v>
      </c>
      <c r="N1233" t="s">
        <v>4107</v>
      </c>
      <c r="O1233" t="s">
        <v>4132</v>
      </c>
      <c r="P1233" t="s">
        <v>4139</v>
      </c>
      <c r="Q1233" t="s">
        <v>4147</v>
      </c>
      <c r="R1233" t="s">
        <v>3523</v>
      </c>
      <c r="T1233" t="s">
        <v>4156</v>
      </c>
      <c r="V1233" t="s">
        <v>235</v>
      </c>
      <c r="W1233">
        <v>965.02</v>
      </c>
      <c r="X1233" t="s">
        <v>4196</v>
      </c>
      <c r="Y1233" t="s">
        <v>4207</v>
      </c>
      <c r="Z1233" t="s">
        <v>5260</v>
      </c>
      <c r="AB1233" t="s">
        <v>6576</v>
      </c>
      <c r="AC1233">
        <v>61</v>
      </c>
      <c r="AD1233" t="s">
        <v>6772</v>
      </c>
      <c r="AE1233" t="s">
        <v>3526</v>
      </c>
      <c r="AF1233">
        <v>45</v>
      </c>
      <c r="AG1233">
        <v>2</v>
      </c>
      <c r="AH1233">
        <v>2</v>
      </c>
      <c r="AI1233">
        <v>221.36</v>
      </c>
      <c r="AL1233" t="s">
        <v>6801</v>
      </c>
      <c r="AM1233">
        <v>57000</v>
      </c>
    </row>
    <row r="1234" spans="1:41">
      <c r="A1234" s="1">
        <f>HYPERLINK("https://lsnyc.legalserver.org/matter/dynamic-profile/view/1915255","19-1915255")</f>
        <v>0</v>
      </c>
      <c r="B1234" t="s">
        <v>61</v>
      </c>
      <c r="C1234" t="s">
        <v>204</v>
      </c>
      <c r="E1234" t="s">
        <v>406</v>
      </c>
      <c r="F1234" t="s">
        <v>2006</v>
      </c>
      <c r="G1234" t="s">
        <v>3005</v>
      </c>
      <c r="H1234" t="s">
        <v>3151</v>
      </c>
      <c r="I1234" t="s">
        <v>3490</v>
      </c>
      <c r="J1234">
        <v>11233</v>
      </c>
      <c r="K1234" t="s">
        <v>3522</v>
      </c>
      <c r="L1234" t="s">
        <v>3525</v>
      </c>
      <c r="M1234" t="s">
        <v>4038</v>
      </c>
      <c r="N1234" t="s">
        <v>4108</v>
      </c>
      <c r="O1234" t="s">
        <v>4136</v>
      </c>
      <c r="Q1234" t="s">
        <v>4147</v>
      </c>
      <c r="R1234" t="s">
        <v>3523</v>
      </c>
      <c r="T1234" t="s">
        <v>4156</v>
      </c>
      <c r="U1234" t="s">
        <v>4168</v>
      </c>
      <c r="V1234" t="s">
        <v>204</v>
      </c>
      <c r="W1234">
        <v>1300</v>
      </c>
      <c r="X1234" t="s">
        <v>4193</v>
      </c>
      <c r="Y1234" t="s">
        <v>4211</v>
      </c>
      <c r="Z1234" t="s">
        <v>5261</v>
      </c>
      <c r="AA1234" t="s">
        <v>5499</v>
      </c>
      <c r="AB1234" t="s">
        <v>6577</v>
      </c>
      <c r="AC1234">
        <v>9</v>
      </c>
      <c r="AD1234" t="s">
        <v>6772</v>
      </c>
      <c r="AE1234" t="s">
        <v>3526</v>
      </c>
      <c r="AF1234">
        <v>7</v>
      </c>
      <c r="AG1234">
        <v>1</v>
      </c>
      <c r="AH1234">
        <v>1</v>
      </c>
      <c r="AI1234">
        <v>222.02</v>
      </c>
      <c r="AL1234" t="s">
        <v>6801</v>
      </c>
      <c r="AM1234">
        <v>37544</v>
      </c>
    </row>
    <row r="1235" spans="1:41">
      <c r="A1235" s="1">
        <f>HYPERLINK("https://lsnyc.legalserver.org/matter/dynamic-profile/view/1909471","19-1909471")</f>
        <v>0</v>
      </c>
      <c r="B1235" t="s">
        <v>60</v>
      </c>
      <c r="C1235" t="s">
        <v>184</v>
      </c>
      <c r="E1235" t="s">
        <v>406</v>
      </c>
      <c r="F1235" t="s">
        <v>2006</v>
      </c>
      <c r="G1235" t="s">
        <v>3005</v>
      </c>
      <c r="H1235" t="s">
        <v>3151</v>
      </c>
      <c r="I1235" t="s">
        <v>3490</v>
      </c>
      <c r="J1235">
        <v>11233</v>
      </c>
      <c r="K1235" t="s">
        <v>3522</v>
      </c>
      <c r="L1235" t="s">
        <v>3525</v>
      </c>
      <c r="M1235" t="s">
        <v>4039</v>
      </c>
      <c r="N1235" t="s">
        <v>4109</v>
      </c>
      <c r="O1235" t="s">
        <v>4134</v>
      </c>
      <c r="Q1235" t="s">
        <v>4147</v>
      </c>
      <c r="R1235" t="s">
        <v>3523</v>
      </c>
      <c r="T1235" t="s">
        <v>4156</v>
      </c>
      <c r="U1235" t="s">
        <v>4172</v>
      </c>
      <c r="V1235" t="s">
        <v>341</v>
      </c>
      <c r="W1235">
        <v>1300</v>
      </c>
      <c r="X1235" t="s">
        <v>4193</v>
      </c>
      <c r="Y1235" t="s">
        <v>4211</v>
      </c>
      <c r="Z1235" t="s">
        <v>5261</v>
      </c>
      <c r="AA1235" t="s">
        <v>5499</v>
      </c>
      <c r="AB1235" t="s">
        <v>6577</v>
      </c>
      <c r="AC1235">
        <v>9</v>
      </c>
      <c r="AD1235" t="s">
        <v>6772</v>
      </c>
      <c r="AE1235" t="s">
        <v>3526</v>
      </c>
      <c r="AF1235">
        <v>7</v>
      </c>
      <c r="AG1235">
        <v>1</v>
      </c>
      <c r="AH1235">
        <v>1</v>
      </c>
      <c r="AI1235">
        <v>222.02</v>
      </c>
      <c r="AJ1235" t="s">
        <v>269</v>
      </c>
      <c r="AK1235" t="s">
        <v>6799</v>
      </c>
      <c r="AL1235" t="s">
        <v>6801</v>
      </c>
      <c r="AM1235">
        <v>37544</v>
      </c>
      <c r="AN1235" t="s">
        <v>6874</v>
      </c>
    </row>
    <row r="1236" spans="1:41">
      <c r="A1236" s="1">
        <f>HYPERLINK("https://lsnyc.legalserver.org/matter/dynamic-profile/view/1912365","19-1912365")</f>
        <v>0</v>
      </c>
      <c r="B1236" t="s">
        <v>123</v>
      </c>
      <c r="C1236" t="s">
        <v>202</v>
      </c>
      <c r="E1236" t="s">
        <v>1109</v>
      </c>
      <c r="F1236" t="s">
        <v>1373</v>
      </c>
      <c r="G1236" t="s">
        <v>2454</v>
      </c>
      <c r="H1236" t="s">
        <v>3211</v>
      </c>
      <c r="I1236" t="s">
        <v>3495</v>
      </c>
      <c r="J1236">
        <v>10040</v>
      </c>
      <c r="K1236" t="s">
        <v>3522</v>
      </c>
      <c r="L1236" t="s">
        <v>3525</v>
      </c>
      <c r="N1236" t="s">
        <v>4110</v>
      </c>
      <c r="O1236" t="s">
        <v>4134</v>
      </c>
      <c r="Q1236" t="s">
        <v>4147</v>
      </c>
      <c r="R1236" t="s">
        <v>3522</v>
      </c>
      <c r="T1236" t="s">
        <v>4156</v>
      </c>
      <c r="V1236" t="s">
        <v>202</v>
      </c>
      <c r="W1236">
        <v>1600</v>
      </c>
      <c r="X1236" t="s">
        <v>4196</v>
      </c>
      <c r="Y1236" t="s">
        <v>4201</v>
      </c>
      <c r="Z1236" t="s">
        <v>5209</v>
      </c>
      <c r="AB1236" t="s">
        <v>6532</v>
      </c>
      <c r="AC1236">
        <v>44</v>
      </c>
      <c r="AD1236" t="s">
        <v>6772</v>
      </c>
      <c r="AE1236" t="s">
        <v>3526</v>
      </c>
      <c r="AF1236">
        <v>39</v>
      </c>
      <c r="AG1236">
        <v>4</v>
      </c>
      <c r="AH1236">
        <v>1</v>
      </c>
      <c r="AI1236">
        <v>222.07</v>
      </c>
      <c r="AL1236" t="s">
        <v>6801</v>
      </c>
      <c r="AM1236">
        <v>67000</v>
      </c>
    </row>
    <row r="1237" spans="1:41">
      <c r="A1237" s="1">
        <f>HYPERLINK("https://lsnyc.legalserver.org/matter/dynamic-profile/view/1912932","19-1912932")</f>
        <v>0</v>
      </c>
      <c r="B1237" t="s">
        <v>123</v>
      </c>
      <c r="C1237" t="s">
        <v>196</v>
      </c>
      <c r="D1237" t="s">
        <v>258</v>
      </c>
      <c r="E1237" t="s">
        <v>1109</v>
      </c>
      <c r="F1237" t="s">
        <v>1373</v>
      </c>
      <c r="G1237" t="s">
        <v>2454</v>
      </c>
      <c r="H1237" t="s">
        <v>3211</v>
      </c>
      <c r="I1237" t="s">
        <v>3495</v>
      </c>
      <c r="J1237">
        <v>10040</v>
      </c>
      <c r="K1237" t="s">
        <v>3522</v>
      </c>
      <c r="L1237" t="s">
        <v>3525</v>
      </c>
      <c r="M1237" t="s">
        <v>3675</v>
      </c>
      <c r="N1237" t="s">
        <v>4110</v>
      </c>
      <c r="O1237" t="s">
        <v>4137</v>
      </c>
      <c r="P1237" t="s">
        <v>4145</v>
      </c>
      <c r="Q1237" t="s">
        <v>4147</v>
      </c>
      <c r="R1237" t="s">
        <v>3522</v>
      </c>
      <c r="T1237" t="s">
        <v>4156</v>
      </c>
      <c r="V1237" t="s">
        <v>196</v>
      </c>
      <c r="W1237">
        <v>1600</v>
      </c>
      <c r="X1237" t="s">
        <v>4196</v>
      </c>
      <c r="Y1237" t="s">
        <v>4201</v>
      </c>
      <c r="Z1237" t="s">
        <v>5209</v>
      </c>
      <c r="AB1237" t="s">
        <v>6532</v>
      </c>
      <c r="AC1237">
        <v>44</v>
      </c>
      <c r="AD1237" t="s">
        <v>6772</v>
      </c>
      <c r="AE1237" t="s">
        <v>3526</v>
      </c>
      <c r="AF1237">
        <v>39</v>
      </c>
      <c r="AG1237">
        <v>4</v>
      </c>
      <c r="AH1237">
        <v>1</v>
      </c>
      <c r="AI1237">
        <v>222.07</v>
      </c>
      <c r="AL1237" t="s">
        <v>6801</v>
      </c>
      <c r="AM1237">
        <v>67000</v>
      </c>
    </row>
    <row r="1238" spans="1:41">
      <c r="A1238" s="1">
        <f>HYPERLINK("https://lsnyc.legalserver.org/matter/dynamic-profile/view/1906257","19-1906257")</f>
        <v>0</v>
      </c>
      <c r="B1238" t="s">
        <v>77</v>
      </c>
      <c r="C1238" t="s">
        <v>228</v>
      </c>
      <c r="D1238" t="s">
        <v>219</v>
      </c>
      <c r="E1238" t="s">
        <v>940</v>
      </c>
      <c r="F1238" t="s">
        <v>1977</v>
      </c>
      <c r="G1238" t="s">
        <v>2974</v>
      </c>
      <c r="H1238" t="s">
        <v>3420</v>
      </c>
      <c r="I1238" t="s">
        <v>3493</v>
      </c>
      <c r="J1238">
        <v>10472</v>
      </c>
      <c r="K1238" t="s">
        <v>3522</v>
      </c>
      <c r="L1238" t="s">
        <v>3525</v>
      </c>
      <c r="N1238" t="s">
        <v>3554</v>
      </c>
      <c r="O1238" t="s">
        <v>4132</v>
      </c>
      <c r="P1238" t="s">
        <v>4139</v>
      </c>
      <c r="Q1238" t="s">
        <v>4147</v>
      </c>
      <c r="R1238" t="s">
        <v>3523</v>
      </c>
      <c r="T1238" t="s">
        <v>4156</v>
      </c>
      <c r="V1238" t="s">
        <v>185</v>
      </c>
      <c r="W1238">
        <v>1907</v>
      </c>
      <c r="X1238" t="s">
        <v>4194</v>
      </c>
      <c r="Y1238" t="s">
        <v>4206</v>
      </c>
      <c r="AB1238" t="s">
        <v>6539</v>
      </c>
      <c r="AC1238">
        <v>59</v>
      </c>
      <c r="AD1238" t="s">
        <v>6772</v>
      </c>
      <c r="AE1238" t="s">
        <v>3526</v>
      </c>
      <c r="AF1238">
        <v>7</v>
      </c>
      <c r="AG1238">
        <v>2</v>
      </c>
      <c r="AH1238">
        <v>2</v>
      </c>
      <c r="AI1238">
        <v>222.14</v>
      </c>
      <c r="AL1238" t="s">
        <v>6801</v>
      </c>
      <c r="AM1238">
        <v>57200</v>
      </c>
    </row>
    <row r="1239" spans="1:41">
      <c r="A1239" s="1">
        <f>HYPERLINK("https://lsnyc.legalserver.org/matter/dynamic-profile/view/1908982","19-1908982")</f>
        <v>0</v>
      </c>
      <c r="B1239" t="s">
        <v>73</v>
      </c>
      <c r="C1239" t="s">
        <v>304</v>
      </c>
      <c r="D1239" t="s">
        <v>215</v>
      </c>
      <c r="E1239" t="s">
        <v>1142</v>
      </c>
      <c r="F1239" t="s">
        <v>2007</v>
      </c>
      <c r="G1239" t="s">
        <v>2368</v>
      </c>
      <c r="H1239" t="s">
        <v>3236</v>
      </c>
      <c r="I1239" t="s">
        <v>3493</v>
      </c>
      <c r="J1239">
        <v>10453</v>
      </c>
      <c r="K1239" t="s">
        <v>3522</v>
      </c>
      <c r="L1239" t="s">
        <v>3525</v>
      </c>
      <c r="N1239" t="s">
        <v>3554</v>
      </c>
      <c r="O1239" t="s">
        <v>4132</v>
      </c>
      <c r="P1239" t="s">
        <v>4139</v>
      </c>
      <c r="Q1239" t="s">
        <v>4147</v>
      </c>
      <c r="R1239" t="s">
        <v>3523</v>
      </c>
      <c r="T1239" t="s">
        <v>4156</v>
      </c>
      <c r="V1239" t="s">
        <v>201</v>
      </c>
      <c r="W1239">
        <v>1336.76</v>
      </c>
      <c r="X1239" t="s">
        <v>4194</v>
      </c>
      <c r="Y1239" t="s">
        <v>4201</v>
      </c>
      <c r="Z1239" t="s">
        <v>5262</v>
      </c>
      <c r="AC1239">
        <v>170</v>
      </c>
      <c r="AD1239" t="s">
        <v>6772</v>
      </c>
      <c r="AE1239" t="s">
        <v>3526</v>
      </c>
      <c r="AF1239">
        <v>3</v>
      </c>
      <c r="AG1239">
        <v>2</v>
      </c>
      <c r="AH1239">
        <v>0</v>
      </c>
      <c r="AI1239">
        <v>223.54</v>
      </c>
      <c r="AL1239" t="s">
        <v>6802</v>
      </c>
      <c r="AM1239">
        <v>37800</v>
      </c>
    </row>
    <row r="1240" spans="1:41">
      <c r="A1240" s="1">
        <f>HYPERLINK("https://lsnyc.legalserver.org/matter/dynamic-profile/view/1914733","19-1914733")</f>
        <v>0</v>
      </c>
      <c r="B1240" t="s">
        <v>82</v>
      </c>
      <c r="C1240" t="s">
        <v>267</v>
      </c>
      <c r="E1240" t="s">
        <v>1142</v>
      </c>
      <c r="F1240" t="s">
        <v>2007</v>
      </c>
      <c r="G1240" t="s">
        <v>2368</v>
      </c>
      <c r="H1240" t="s">
        <v>3236</v>
      </c>
      <c r="I1240" t="s">
        <v>3493</v>
      </c>
      <c r="J1240">
        <v>10453</v>
      </c>
      <c r="K1240" t="s">
        <v>3522</v>
      </c>
      <c r="L1240" t="s">
        <v>3525</v>
      </c>
      <c r="M1240" t="s">
        <v>4040</v>
      </c>
      <c r="N1240" t="s">
        <v>4109</v>
      </c>
      <c r="O1240" t="s">
        <v>4134</v>
      </c>
      <c r="Q1240" t="s">
        <v>4147</v>
      </c>
      <c r="R1240" t="s">
        <v>3523</v>
      </c>
      <c r="T1240" t="s">
        <v>4156</v>
      </c>
      <c r="U1240" t="s">
        <v>4168</v>
      </c>
      <c r="V1240" t="s">
        <v>301</v>
      </c>
      <c r="W1240">
        <v>1317</v>
      </c>
      <c r="X1240" t="s">
        <v>4194</v>
      </c>
      <c r="Y1240" t="s">
        <v>4206</v>
      </c>
      <c r="Z1240" t="s">
        <v>5262</v>
      </c>
      <c r="AC1240">
        <v>170</v>
      </c>
      <c r="AD1240" t="s">
        <v>6772</v>
      </c>
      <c r="AE1240" t="s">
        <v>3526</v>
      </c>
      <c r="AF1240">
        <v>3</v>
      </c>
      <c r="AG1240">
        <v>2</v>
      </c>
      <c r="AH1240">
        <v>0</v>
      </c>
      <c r="AI1240">
        <v>223.54</v>
      </c>
      <c r="AL1240" t="s">
        <v>6802</v>
      </c>
      <c r="AM1240">
        <v>37800</v>
      </c>
    </row>
    <row r="1241" spans="1:41">
      <c r="A1241" s="1">
        <f>HYPERLINK("https://lsnyc.legalserver.org/matter/dynamic-profile/view/1901811","19-1901811")</f>
        <v>0</v>
      </c>
      <c r="B1241" t="s">
        <v>79</v>
      </c>
      <c r="C1241" t="s">
        <v>234</v>
      </c>
      <c r="D1241" t="s">
        <v>234</v>
      </c>
      <c r="E1241" t="s">
        <v>390</v>
      </c>
      <c r="F1241" t="s">
        <v>2008</v>
      </c>
      <c r="G1241" t="s">
        <v>3006</v>
      </c>
      <c r="H1241" t="s">
        <v>3432</v>
      </c>
      <c r="I1241" t="s">
        <v>3493</v>
      </c>
      <c r="J1241">
        <v>10452</v>
      </c>
      <c r="K1241" t="s">
        <v>3522</v>
      </c>
      <c r="L1241" t="s">
        <v>3525</v>
      </c>
      <c r="N1241" t="s">
        <v>4113</v>
      </c>
      <c r="O1241" t="s">
        <v>4132</v>
      </c>
      <c r="P1241" t="s">
        <v>4139</v>
      </c>
      <c r="Q1241" t="s">
        <v>4147</v>
      </c>
      <c r="T1241" t="s">
        <v>4156</v>
      </c>
      <c r="U1241" t="s">
        <v>4168</v>
      </c>
      <c r="V1241" t="s">
        <v>241</v>
      </c>
      <c r="W1241">
        <v>1100</v>
      </c>
      <c r="X1241" t="s">
        <v>4194</v>
      </c>
      <c r="Y1241" t="s">
        <v>4206</v>
      </c>
      <c r="Z1241" t="s">
        <v>5263</v>
      </c>
      <c r="AB1241" t="s">
        <v>6578</v>
      </c>
      <c r="AC1241">
        <v>0</v>
      </c>
      <c r="AD1241" t="s">
        <v>6772</v>
      </c>
      <c r="AE1241" t="s">
        <v>3526</v>
      </c>
      <c r="AF1241">
        <v>4</v>
      </c>
      <c r="AG1241">
        <v>2</v>
      </c>
      <c r="AH1241">
        <v>0</v>
      </c>
      <c r="AI1241">
        <v>224.25</v>
      </c>
      <c r="AL1241" t="s">
        <v>6802</v>
      </c>
      <c r="AM1241">
        <v>37920</v>
      </c>
    </row>
    <row r="1242" spans="1:41">
      <c r="A1242" s="1">
        <f>HYPERLINK("https://lsnyc.legalserver.org/matter/dynamic-profile/view/1908556","19-1908556")</f>
        <v>0</v>
      </c>
      <c r="B1242" t="s">
        <v>89</v>
      </c>
      <c r="C1242" t="s">
        <v>224</v>
      </c>
      <c r="D1242" t="s">
        <v>251</v>
      </c>
      <c r="E1242" t="s">
        <v>679</v>
      </c>
      <c r="F1242" t="s">
        <v>1268</v>
      </c>
      <c r="G1242" t="s">
        <v>2457</v>
      </c>
      <c r="I1242" t="s">
        <v>3495</v>
      </c>
      <c r="J1242">
        <v>10033</v>
      </c>
      <c r="K1242" t="s">
        <v>3522</v>
      </c>
      <c r="L1242" t="s">
        <v>3525</v>
      </c>
      <c r="N1242" t="s">
        <v>3554</v>
      </c>
      <c r="O1242" t="s">
        <v>4132</v>
      </c>
      <c r="P1242" t="s">
        <v>4139</v>
      </c>
      <c r="Q1242" t="s">
        <v>4147</v>
      </c>
      <c r="R1242" t="s">
        <v>3523</v>
      </c>
      <c r="T1242" t="s">
        <v>4156</v>
      </c>
      <c r="V1242" t="s">
        <v>224</v>
      </c>
      <c r="W1242">
        <v>1190</v>
      </c>
      <c r="X1242" t="s">
        <v>4196</v>
      </c>
      <c r="Y1242" t="s">
        <v>4198</v>
      </c>
      <c r="Z1242" t="s">
        <v>5264</v>
      </c>
      <c r="AB1242" t="s">
        <v>6579</v>
      </c>
      <c r="AC1242">
        <v>480</v>
      </c>
      <c r="AD1242" t="s">
        <v>6772</v>
      </c>
      <c r="AE1242" t="s">
        <v>6786</v>
      </c>
      <c r="AF1242">
        <v>9</v>
      </c>
      <c r="AG1242">
        <v>2</v>
      </c>
      <c r="AH1242">
        <v>0</v>
      </c>
      <c r="AI1242">
        <v>224.72</v>
      </c>
      <c r="AL1242" t="s">
        <v>6802</v>
      </c>
      <c r="AM1242">
        <v>38000</v>
      </c>
    </row>
    <row r="1243" spans="1:41">
      <c r="A1243" s="1">
        <f>HYPERLINK("https://lsnyc.legalserver.org/matter/dynamic-profile/view/1904052","19-1904052")</f>
        <v>0</v>
      </c>
      <c r="B1243" t="s">
        <v>53</v>
      </c>
      <c r="C1243" t="s">
        <v>183</v>
      </c>
      <c r="E1243" t="s">
        <v>1143</v>
      </c>
      <c r="F1243" t="s">
        <v>2009</v>
      </c>
      <c r="G1243" t="s">
        <v>3007</v>
      </c>
      <c r="H1243" t="s">
        <v>3433</v>
      </c>
      <c r="I1243" t="s">
        <v>3490</v>
      </c>
      <c r="J1243">
        <v>11203</v>
      </c>
      <c r="K1243" t="s">
        <v>3522</v>
      </c>
      <c r="L1243" t="s">
        <v>3525</v>
      </c>
      <c r="N1243" t="s">
        <v>4108</v>
      </c>
      <c r="O1243" t="s">
        <v>4134</v>
      </c>
      <c r="Q1243" t="s">
        <v>4147</v>
      </c>
      <c r="R1243" t="s">
        <v>3523</v>
      </c>
      <c r="T1243" t="s">
        <v>4156</v>
      </c>
      <c r="U1243" t="s">
        <v>4168</v>
      </c>
      <c r="V1243" t="s">
        <v>183</v>
      </c>
      <c r="W1243">
        <v>0</v>
      </c>
      <c r="X1243" t="s">
        <v>4193</v>
      </c>
      <c r="Y1243" t="s">
        <v>4201</v>
      </c>
      <c r="Z1243" t="s">
        <v>5265</v>
      </c>
      <c r="AB1243" t="s">
        <v>6580</v>
      </c>
      <c r="AC1243">
        <v>42</v>
      </c>
      <c r="AD1243" t="s">
        <v>6772</v>
      </c>
      <c r="AF1243">
        <v>13</v>
      </c>
      <c r="AG1243">
        <v>2</v>
      </c>
      <c r="AH1243">
        <v>0</v>
      </c>
      <c r="AI1243">
        <v>225.03</v>
      </c>
      <c r="AJ1243" t="s">
        <v>179</v>
      </c>
      <c r="AK1243" t="s">
        <v>6799</v>
      </c>
      <c r="AL1243" t="s">
        <v>6801</v>
      </c>
      <c r="AM1243">
        <v>38052</v>
      </c>
      <c r="AO1243" t="s">
        <v>6920</v>
      </c>
    </row>
    <row r="1244" spans="1:41">
      <c r="A1244" s="1">
        <f>HYPERLINK("https://lsnyc.legalserver.org/matter/dynamic-profile/view/1903610","19-1903610")</f>
        <v>0</v>
      </c>
      <c r="B1244" t="s">
        <v>74</v>
      </c>
      <c r="C1244" t="s">
        <v>262</v>
      </c>
      <c r="D1244" t="s">
        <v>262</v>
      </c>
      <c r="E1244" t="s">
        <v>1144</v>
      </c>
      <c r="F1244" t="s">
        <v>2010</v>
      </c>
      <c r="G1244" t="s">
        <v>3008</v>
      </c>
      <c r="I1244" t="s">
        <v>3493</v>
      </c>
      <c r="J1244">
        <v>10452</v>
      </c>
      <c r="K1244" t="s">
        <v>3522</v>
      </c>
      <c r="L1244" t="s">
        <v>3525</v>
      </c>
      <c r="N1244" t="s">
        <v>3554</v>
      </c>
      <c r="O1244" t="s">
        <v>4132</v>
      </c>
      <c r="P1244" t="s">
        <v>4139</v>
      </c>
      <c r="Q1244" t="s">
        <v>4147</v>
      </c>
      <c r="R1244" t="s">
        <v>3523</v>
      </c>
      <c r="T1244" t="s">
        <v>4156</v>
      </c>
      <c r="V1244" t="s">
        <v>262</v>
      </c>
      <c r="W1244">
        <v>1764.15</v>
      </c>
      <c r="X1244" t="s">
        <v>4194</v>
      </c>
      <c r="Y1244" t="s">
        <v>4200</v>
      </c>
      <c r="Z1244" t="s">
        <v>5266</v>
      </c>
      <c r="AB1244" t="s">
        <v>6581</v>
      </c>
      <c r="AC1244">
        <v>58</v>
      </c>
      <c r="AF1244">
        <v>3</v>
      </c>
      <c r="AG1244">
        <v>2</v>
      </c>
      <c r="AH1244">
        <v>2</v>
      </c>
      <c r="AI1244">
        <v>225.24</v>
      </c>
      <c r="AL1244" t="s">
        <v>6802</v>
      </c>
      <c r="AM1244">
        <v>58000</v>
      </c>
    </row>
    <row r="1245" spans="1:41">
      <c r="A1245" s="1">
        <f>HYPERLINK("https://lsnyc.legalserver.org/matter/dynamic-profile/view/1910981","19-1910981")</f>
        <v>0</v>
      </c>
      <c r="B1245" t="s">
        <v>64</v>
      </c>
      <c r="C1245" t="s">
        <v>270</v>
      </c>
      <c r="E1245" t="s">
        <v>1145</v>
      </c>
      <c r="F1245" t="s">
        <v>1476</v>
      </c>
      <c r="G1245" t="s">
        <v>2362</v>
      </c>
      <c r="H1245" t="s">
        <v>3170</v>
      </c>
      <c r="I1245" t="s">
        <v>3490</v>
      </c>
      <c r="J1245">
        <v>11225</v>
      </c>
      <c r="K1245" t="s">
        <v>3522</v>
      </c>
      <c r="L1245" t="s">
        <v>3525</v>
      </c>
      <c r="O1245" t="s">
        <v>4137</v>
      </c>
      <c r="Q1245" t="s">
        <v>4147</v>
      </c>
      <c r="R1245" t="s">
        <v>3522</v>
      </c>
      <c r="T1245" t="s">
        <v>4156</v>
      </c>
      <c r="V1245" t="s">
        <v>230</v>
      </c>
      <c r="W1245">
        <v>0</v>
      </c>
      <c r="X1245" t="s">
        <v>4193</v>
      </c>
      <c r="Z1245" t="s">
        <v>5267</v>
      </c>
      <c r="AC1245">
        <v>11</v>
      </c>
      <c r="AF1245">
        <v>0</v>
      </c>
      <c r="AG1245">
        <v>2</v>
      </c>
      <c r="AH1245">
        <v>0</v>
      </c>
      <c r="AI1245">
        <v>225.59</v>
      </c>
      <c r="AJ1245" t="s">
        <v>268</v>
      </c>
      <c r="AK1245" t="s">
        <v>6799</v>
      </c>
      <c r="AL1245" t="s">
        <v>6801</v>
      </c>
      <c r="AM1245">
        <v>38148</v>
      </c>
    </row>
    <row r="1246" spans="1:41">
      <c r="A1246" s="1">
        <f>HYPERLINK("https://lsnyc.legalserver.org/matter/dynamic-profile/view/1911559","19-1911559")</f>
        <v>0</v>
      </c>
      <c r="B1246" t="s">
        <v>123</v>
      </c>
      <c r="C1246" t="s">
        <v>215</v>
      </c>
      <c r="E1246" t="s">
        <v>874</v>
      </c>
      <c r="F1246" t="s">
        <v>1738</v>
      </c>
      <c r="G1246" t="s">
        <v>2454</v>
      </c>
      <c r="H1246" t="s">
        <v>3242</v>
      </c>
      <c r="I1246" t="s">
        <v>3495</v>
      </c>
      <c r="J1246">
        <v>10040</v>
      </c>
      <c r="K1246" t="s">
        <v>3522</v>
      </c>
      <c r="L1246" t="s">
        <v>3525</v>
      </c>
      <c r="N1246" t="s">
        <v>4115</v>
      </c>
      <c r="O1246" t="s">
        <v>4134</v>
      </c>
      <c r="Q1246" t="s">
        <v>4147</v>
      </c>
      <c r="R1246" t="s">
        <v>3522</v>
      </c>
      <c r="T1246" t="s">
        <v>4156</v>
      </c>
      <c r="V1246" t="s">
        <v>215</v>
      </c>
      <c r="W1246">
        <v>1231.45</v>
      </c>
      <c r="X1246" t="s">
        <v>4196</v>
      </c>
      <c r="Y1246" t="s">
        <v>4201</v>
      </c>
      <c r="Z1246" t="s">
        <v>4851</v>
      </c>
      <c r="AB1246" t="s">
        <v>6203</v>
      </c>
      <c r="AC1246">
        <v>44</v>
      </c>
      <c r="AD1246" t="s">
        <v>6772</v>
      </c>
      <c r="AE1246" t="s">
        <v>3526</v>
      </c>
      <c r="AF1246">
        <v>13</v>
      </c>
      <c r="AG1246">
        <v>2</v>
      </c>
      <c r="AH1246">
        <v>0</v>
      </c>
      <c r="AI1246">
        <v>226.64</v>
      </c>
      <c r="AL1246" t="s">
        <v>6802</v>
      </c>
      <c r="AM1246">
        <v>38324</v>
      </c>
    </row>
    <row r="1247" spans="1:41">
      <c r="A1247" s="1">
        <f>HYPERLINK("https://lsnyc.legalserver.org/matter/dynamic-profile/view/1911604","19-1911604")</f>
        <v>0</v>
      </c>
      <c r="B1247" t="s">
        <v>123</v>
      </c>
      <c r="C1247" t="s">
        <v>291</v>
      </c>
      <c r="E1247" t="s">
        <v>874</v>
      </c>
      <c r="F1247" t="s">
        <v>1738</v>
      </c>
      <c r="G1247" t="s">
        <v>2454</v>
      </c>
      <c r="H1247" t="s">
        <v>3242</v>
      </c>
      <c r="I1247" t="s">
        <v>3495</v>
      </c>
      <c r="J1247">
        <v>10040</v>
      </c>
      <c r="K1247" t="s">
        <v>3522</v>
      </c>
      <c r="L1247" t="s">
        <v>3525</v>
      </c>
      <c r="N1247" t="s">
        <v>4110</v>
      </c>
      <c r="O1247" t="s">
        <v>4134</v>
      </c>
      <c r="Q1247" t="s">
        <v>4147</v>
      </c>
      <c r="R1247" t="s">
        <v>3522</v>
      </c>
      <c r="T1247" t="s">
        <v>4156</v>
      </c>
      <c r="V1247" t="s">
        <v>291</v>
      </c>
      <c r="W1247">
        <v>1231.45</v>
      </c>
      <c r="X1247" t="s">
        <v>4196</v>
      </c>
      <c r="Y1247" t="s">
        <v>4201</v>
      </c>
      <c r="Z1247" t="s">
        <v>4851</v>
      </c>
      <c r="AB1247" t="s">
        <v>6203</v>
      </c>
      <c r="AC1247">
        <v>44</v>
      </c>
      <c r="AD1247" t="s">
        <v>6772</v>
      </c>
      <c r="AE1247" t="s">
        <v>3526</v>
      </c>
      <c r="AF1247">
        <v>13</v>
      </c>
      <c r="AG1247">
        <v>2</v>
      </c>
      <c r="AH1247">
        <v>0</v>
      </c>
      <c r="AI1247">
        <v>226.64</v>
      </c>
      <c r="AL1247" t="s">
        <v>6802</v>
      </c>
      <c r="AM1247">
        <v>38324</v>
      </c>
    </row>
    <row r="1248" spans="1:41">
      <c r="A1248" s="1">
        <f>HYPERLINK("https://lsnyc.legalserver.org/matter/dynamic-profile/view/1899803","19-1899803")</f>
        <v>0</v>
      </c>
      <c r="B1248" t="s">
        <v>63</v>
      </c>
      <c r="C1248" t="s">
        <v>316</v>
      </c>
      <c r="E1248" t="s">
        <v>1146</v>
      </c>
      <c r="F1248" t="s">
        <v>2011</v>
      </c>
      <c r="G1248" t="s">
        <v>3009</v>
      </c>
      <c r="H1248" t="s">
        <v>3179</v>
      </c>
      <c r="I1248" t="s">
        <v>3490</v>
      </c>
      <c r="J1248">
        <v>11212</v>
      </c>
      <c r="K1248" t="s">
        <v>3522</v>
      </c>
      <c r="L1248" t="s">
        <v>3525</v>
      </c>
      <c r="M1248" t="s">
        <v>4041</v>
      </c>
      <c r="N1248" t="s">
        <v>4107</v>
      </c>
      <c r="O1248" t="s">
        <v>4134</v>
      </c>
      <c r="Q1248" t="s">
        <v>4147</v>
      </c>
      <c r="R1248" t="s">
        <v>3523</v>
      </c>
      <c r="T1248" t="s">
        <v>4156</v>
      </c>
      <c r="U1248" t="s">
        <v>4168</v>
      </c>
      <c r="V1248" t="s">
        <v>336</v>
      </c>
      <c r="W1248">
        <v>2200</v>
      </c>
      <c r="X1248" t="s">
        <v>4193</v>
      </c>
      <c r="Y1248" t="s">
        <v>4205</v>
      </c>
      <c r="Z1248" t="s">
        <v>5268</v>
      </c>
      <c r="AB1248" t="s">
        <v>6582</v>
      </c>
      <c r="AC1248">
        <v>5</v>
      </c>
      <c r="AD1248" t="s">
        <v>6771</v>
      </c>
      <c r="AE1248" t="s">
        <v>3526</v>
      </c>
      <c r="AF1248">
        <v>1</v>
      </c>
      <c r="AG1248">
        <v>3</v>
      </c>
      <c r="AH1248">
        <v>1</v>
      </c>
      <c r="AI1248">
        <v>227.55</v>
      </c>
      <c r="AJ1248" t="s">
        <v>234</v>
      </c>
      <c r="AK1248" t="s">
        <v>6799</v>
      </c>
      <c r="AL1248" t="s">
        <v>6801</v>
      </c>
      <c r="AM1248">
        <v>58595</v>
      </c>
    </row>
    <row r="1249" spans="1:42">
      <c r="A1249" s="1">
        <f>HYPERLINK("https://lsnyc.legalserver.org/matter/dynamic-profile/view/1905677","19-1905677")</f>
        <v>0</v>
      </c>
      <c r="B1249" t="s">
        <v>55</v>
      </c>
      <c r="C1249" t="s">
        <v>206</v>
      </c>
      <c r="D1249" t="s">
        <v>213</v>
      </c>
      <c r="E1249" t="s">
        <v>1147</v>
      </c>
      <c r="F1249" t="s">
        <v>1264</v>
      </c>
      <c r="G1249" t="s">
        <v>3010</v>
      </c>
      <c r="H1249" t="s">
        <v>3179</v>
      </c>
      <c r="I1249" t="s">
        <v>3490</v>
      </c>
      <c r="J1249">
        <v>11212</v>
      </c>
      <c r="K1249" t="s">
        <v>3522</v>
      </c>
      <c r="L1249" t="s">
        <v>3525</v>
      </c>
      <c r="M1249" t="s">
        <v>4042</v>
      </c>
      <c r="N1249" t="s">
        <v>4107</v>
      </c>
      <c r="O1249" t="s">
        <v>4135</v>
      </c>
      <c r="P1249" t="s">
        <v>4142</v>
      </c>
      <c r="Q1249" t="s">
        <v>4147</v>
      </c>
      <c r="R1249" t="s">
        <v>3523</v>
      </c>
      <c r="T1249" t="s">
        <v>4156</v>
      </c>
      <c r="U1249" t="s">
        <v>4168</v>
      </c>
      <c r="V1249" t="s">
        <v>253</v>
      </c>
      <c r="W1249">
        <v>1100</v>
      </c>
      <c r="X1249" t="s">
        <v>4193</v>
      </c>
      <c r="Y1249" t="s">
        <v>4202</v>
      </c>
      <c r="Z1249" t="s">
        <v>5269</v>
      </c>
      <c r="AA1249" t="s">
        <v>3562</v>
      </c>
      <c r="AB1249" t="s">
        <v>6583</v>
      </c>
      <c r="AC1249">
        <v>4</v>
      </c>
      <c r="AD1249" t="s">
        <v>6771</v>
      </c>
      <c r="AE1249" t="s">
        <v>3526</v>
      </c>
      <c r="AF1249">
        <v>13</v>
      </c>
      <c r="AG1249">
        <v>2</v>
      </c>
      <c r="AH1249">
        <v>1</v>
      </c>
      <c r="AI1249">
        <v>227.61</v>
      </c>
      <c r="AL1249" t="s">
        <v>6801</v>
      </c>
      <c r="AM1249">
        <v>48550</v>
      </c>
      <c r="AN1249" t="s">
        <v>6875</v>
      </c>
    </row>
    <row r="1250" spans="1:42">
      <c r="A1250" s="1">
        <f>HYPERLINK("https://lsnyc.legalserver.org/matter/dynamic-profile/view/1916034","19-1916034")</f>
        <v>0</v>
      </c>
      <c r="B1250" t="s">
        <v>153</v>
      </c>
      <c r="C1250" t="s">
        <v>299</v>
      </c>
      <c r="E1250" t="s">
        <v>1148</v>
      </c>
      <c r="F1250" t="s">
        <v>2012</v>
      </c>
      <c r="G1250" t="s">
        <v>2585</v>
      </c>
      <c r="H1250" t="s">
        <v>3151</v>
      </c>
      <c r="I1250" t="s">
        <v>3490</v>
      </c>
      <c r="J1250">
        <v>11233</v>
      </c>
      <c r="K1250" t="s">
        <v>3522</v>
      </c>
      <c r="M1250" t="s">
        <v>3609</v>
      </c>
      <c r="N1250" t="s">
        <v>4110</v>
      </c>
      <c r="O1250" t="s">
        <v>4137</v>
      </c>
      <c r="Q1250" t="s">
        <v>4147</v>
      </c>
      <c r="R1250" t="s">
        <v>3523</v>
      </c>
      <c r="T1250" t="s">
        <v>4156</v>
      </c>
      <c r="V1250" t="s">
        <v>273</v>
      </c>
      <c r="W1250">
        <v>1328</v>
      </c>
      <c r="X1250" t="s">
        <v>4193</v>
      </c>
      <c r="Y1250" t="s">
        <v>4201</v>
      </c>
      <c r="Z1250" t="s">
        <v>5270</v>
      </c>
      <c r="AA1250" t="s">
        <v>3526</v>
      </c>
      <c r="AB1250" t="s">
        <v>6584</v>
      </c>
      <c r="AC1250">
        <v>6</v>
      </c>
      <c r="AD1250" t="s">
        <v>6772</v>
      </c>
      <c r="AE1250" t="s">
        <v>3526</v>
      </c>
      <c r="AF1250">
        <v>5</v>
      </c>
      <c r="AG1250">
        <v>1</v>
      </c>
      <c r="AH1250">
        <v>0</v>
      </c>
      <c r="AI1250">
        <v>227.73</v>
      </c>
      <c r="AL1250" t="s">
        <v>6801</v>
      </c>
      <c r="AM1250">
        <v>28444</v>
      </c>
      <c r="AN1250" t="s">
        <v>6876</v>
      </c>
    </row>
    <row r="1251" spans="1:42">
      <c r="A1251" s="1">
        <f>HYPERLINK("https://lsnyc.legalserver.org/matter/dynamic-profile/view/1916028","19-1916028")</f>
        <v>0</v>
      </c>
      <c r="B1251" t="s">
        <v>72</v>
      </c>
      <c r="C1251" t="s">
        <v>299</v>
      </c>
      <c r="E1251" t="s">
        <v>1148</v>
      </c>
      <c r="F1251" t="s">
        <v>2012</v>
      </c>
      <c r="G1251" t="s">
        <v>2585</v>
      </c>
      <c r="H1251" t="s">
        <v>3151</v>
      </c>
      <c r="I1251" t="s">
        <v>3490</v>
      </c>
      <c r="J1251">
        <v>11233</v>
      </c>
      <c r="K1251" t="s">
        <v>3522</v>
      </c>
      <c r="L1251" t="s">
        <v>3525</v>
      </c>
      <c r="M1251" t="s">
        <v>4043</v>
      </c>
      <c r="N1251" t="s">
        <v>4109</v>
      </c>
      <c r="O1251" t="s">
        <v>4134</v>
      </c>
      <c r="Q1251" t="s">
        <v>4147</v>
      </c>
      <c r="R1251" t="s">
        <v>3523</v>
      </c>
      <c r="T1251" t="s">
        <v>4156</v>
      </c>
      <c r="V1251" t="s">
        <v>299</v>
      </c>
      <c r="W1251">
        <v>1328</v>
      </c>
      <c r="X1251" t="s">
        <v>4193</v>
      </c>
      <c r="Y1251" t="s">
        <v>4201</v>
      </c>
      <c r="Z1251" t="s">
        <v>5270</v>
      </c>
      <c r="AA1251" t="s">
        <v>3526</v>
      </c>
      <c r="AB1251" t="s">
        <v>6584</v>
      </c>
      <c r="AC1251">
        <v>6</v>
      </c>
      <c r="AD1251" t="s">
        <v>6772</v>
      </c>
      <c r="AE1251" t="s">
        <v>3526</v>
      </c>
      <c r="AF1251">
        <v>5</v>
      </c>
      <c r="AG1251">
        <v>1</v>
      </c>
      <c r="AH1251">
        <v>0</v>
      </c>
      <c r="AI1251">
        <v>227.73</v>
      </c>
      <c r="AL1251" t="s">
        <v>6801</v>
      </c>
      <c r="AM1251">
        <v>28444</v>
      </c>
      <c r="AN1251" t="s">
        <v>6876</v>
      </c>
    </row>
    <row r="1252" spans="1:42">
      <c r="A1252" s="1">
        <f>HYPERLINK("https://lsnyc.legalserver.org/matter/dynamic-profile/view/1907240","19-1907240")</f>
        <v>0</v>
      </c>
      <c r="B1252" t="s">
        <v>71</v>
      </c>
      <c r="C1252" t="s">
        <v>225</v>
      </c>
      <c r="E1252" t="s">
        <v>1149</v>
      </c>
      <c r="F1252" t="s">
        <v>1678</v>
      </c>
      <c r="G1252" t="s">
        <v>3011</v>
      </c>
      <c r="H1252" t="s">
        <v>3434</v>
      </c>
      <c r="I1252" t="s">
        <v>3490</v>
      </c>
      <c r="J1252">
        <v>11233</v>
      </c>
      <c r="K1252" t="s">
        <v>3522</v>
      </c>
      <c r="L1252" t="s">
        <v>3525</v>
      </c>
      <c r="M1252" t="s">
        <v>4044</v>
      </c>
      <c r="N1252" t="s">
        <v>4107</v>
      </c>
      <c r="O1252" t="s">
        <v>4135</v>
      </c>
      <c r="Q1252" t="s">
        <v>4147</v>
      </c>
      <c r="R1252" t="s">
        <v>3523</v>
      </c>
      <c r="T1252" t="s">
        <v>4156</v>
      </c>
      <c r="U1252" t="s">
        <v>4168</v>
      </c>
      <c r="V1252" t="s">
        <v>177</v>
      </c>
      <c r="W1252">
        <v>1660</v>
      </c>
      <c r="X1252" t="s">
        <v>4193</v>
      </c>
      <c r="Y1252" t="s">
        <v>4208</v>
      </c>
      <c r="Z1252" t="s">
        <v>5271</v>
      </c>
      <c r="AA1252" t="s">
        <v>5505</v>
      </c>
      <c r="AB1252" t="s">
        <v>6585</v>
      </c>
      <c r="AC1252">
        <v>3</v>
      </c>
      <c r="AD1252" t="s">
        <v>6771</v>
      </c>
      <c r="AE1252" t="s">
        <v>6786</v>
      </c>
      <c r="AF1252">
        <v>9</v>
      </c>
      <c r="AG1252">
        <v>2</v>
      </c>
      <c r="AH1252">
        <v>2</v>
      </c>
      <c r="AI1252">
        <v>228.19</v>
      </c>
      <c r="AL1252" t="s">
        <v>6801</v>
      </c>
      <c r="AM1252">
        <v>58760</v>
      </c>
    </row>
    <row r="1253" spans="1:42">
      <c r="A1253" s="1">
        <f>HYPERLINK("https://lsnyc.legalserver.org/matter/dynamic-profile/view/1905764","19-1905764")</f>
        <v>0</v>
      </c>
      <c r="B1253" t="s">
        <v>97</v>
      </c>
      <c r="C1253" t="s">
        <v>206</v>
      </c>
      <c r="E1253" t="s">
        <v>1150</v>
      </c>
      <c r="F1253" t="s">
        <v>1295</v>
      </c>
      <c r="G1253" t="s">
        <v>3012</v>
      </c>
      <c r="H1253" t="s">
        <v>3141</v>
      </c>
      <c r="I1253" t="s">
        <v>3490</v>
      </c>
      <c r="J1253">
        <v>11221</v>
      </c>
      <c r="K1253" t="s">
        <v>3522</v>
      </c>
      <c r="L1253" t="s">
        <v>3525</v>
      </c>
      <c r="M1253" t="s">
        <v>3554</v>
      </c>
      <c r="N1253" t="s">
        <v>3554</v>
      </c>
      <c r="O1253" t="s">
        <v>4135</v>
      </c>
      <c r="Q1253" t="s">
        <v>4147</v>
      </c>
      <c r="R1253" t="s">
        <v>3522</v>
      </c>
      <c r="T1253" t="s">
        <v>4156</v>
      </c>
      <c r="U1253" t="s">
        <v>4168</v>
      </c>
      <c r="V1253" t="s">
        <v>251</v>
      </c>
      <c r="W1253">
        <v>757</v>
      </c>
      <c r="X1253" t="s">
        <v>4193</v>
      </c>
      <c r="Y1253" t="s">
        <v>4200</v>
      </c>
      <c r="Z1253" t="s">
        <v>5272</v>
      </c>
      <c r="AA1253" t="s">
        <v>3526</v>
      </c>
      <c r="AB1253" t="s">
        <v>6586</v>
      </c>
      <c r="AC1253">
        <v>12</v>
      </c>
      <c r="AD1253" t="s">
        <v>6772</v>
      </c>
      <c r="AE1253" t="s">
        <v>3526</v>
      </c>
      <c r="AF1253">
        <v>27</v>
      </c>
      <c r="AG1253">
        <v>3</v>
      </c>
      <c r="AH1253">
        <v>2</v>
      </c>
      <c r="AI1253">
        <v>229.11</v>
      </c>
      <c r="AL1253" t="s">
        <v>6801</v>
      </c>
      <c r="AM1253">
        <v>69122</v>
      </c>
      <c r="AN1253" t="s">
        <v>6877</v>
      </c>
    </row>
    <row r="1254" spans="1:42">
      <c r="A1254" s="1">
        <f>HYPERLINK("https://lsnyc.legalserver.org/matter/dynamic-profile/view/1909123","19-1909123")</f>
        <v>0</v>
      </c>
      <c r="B1254" t="s">
        <v>94</v>
      </c>
      <c r="C1254" t="s">
        <v>234</v>
      </c>
      <c r="D1254" t="s">
        <v>240</v>
      </c>
      <c r="E1254" t="s">
        <v>1151</v>
      </c>
      <c r="F1254" t="s">
        <v>2013</v>
      </c>
      <c r="G1254" t="s">
        <v>2396</v>
      </c>
      <c r="H1254" t="s">
        <v>3252</v>
      </c>
      <c r="I1254" t="s">
        <v>3495</v>
      </c>
      <c r="J1254">
        <v>10035</v>
      </c>
      <c r="K1254" t="s">
        <v>3522</v>
      </c>
      <c r="L1254" t="s">
        <v>3525</v>
      </c>
      <c r="N1254" t="s">
        <v>3554</v>
      </c>
      <c r="O1254" t="s">
        <v>4135</v>
      </c>
      <c r="P1254" t="s">
        <v>4142</v>
      </c>
      <c r="Q1254" t="s">
        <v>4147</v>
      </c>
      <c r="R1254" t="s">
        <v>3522</v>
      </c>
      <c r="T1254" t="s">
        <v>4156</v>
      </c>
      <c r="U1254" t="s">
        <v>4173</v>
      </c>
      <c r="V1254" t="s">
        <v>308</v>
      </c>
      <c r="W1254">
        <v>1893</v>
      </c>
      <c r="X1254" t="s">
        <v>4196</v>
      </c>
      <c r="Y1254" t="s">
        <v>4212</v>
      </c>
      <c r="Z1254" t="s">
        <v>5273</v>
      </c>
      <c r="AB1254" t="s">
        <v>6587</v>
      </c>
      <c r="AC1254">
        <v>72</v>
      </c>
      <c r="AD1254" t="s">
        <v>6772</v>
      </c>
      <c r="AE1254" t="s">
        <v>6786</v>
      </c>
      <c r="AF1254">
        <v>33</v>
      </c>
      <c r="AG1254">
        <v>3</v>
      </c>
      <c r="AH1254">
        <v>1</v>
      </c>
      <c r="AI1254">
        <v>229.13</v>
      </c>
      <c r="AL1254" t="s">
        <v>6801</v>
      </c>
      <c r="AM1254">
        <v>59000</v>
      </c>
    </row>
    <row r="1255" spans="1:42">
      <c r="A1255" s="1">
        <f>HYPERLINK("https://lsnyc.legalserver.org/matter/dynamic-profile/view/1903871","19-1903871")</f>
        <v>0</v>
      </c>
      <c r="B1255" t="s">
        <v>57</v>
      </c>
      <c r="C1255" t="s">
        <v>259</v>
      </c>
      <c r="D1255" t="s">
        <v>225</v>
      </c>
      <c r="E1255" t="s">
        <v>855</v>
      </c>
      <c r="F1255" t="s">
        <v>2014</v>
      </c>
      <c r="G1255" t="s">
        <v>3013</v>
      </c>
      <c r="H1255" t="s">
        <v>3435</v>
      </c>
      <c r="I1255" t="s">
        <v>3490</v>
      </c>
      <c r="J1255">
        <v>11212</v>
      </c>
      <c r="K1255" t="s">
        <v>3522</v>
      </c>
      <c r="L1255" t="s">
        <v>3525</v>
      </c>
      <c r="M1255" t="s">
        <v>3526</v>
      </c>
      <c r="N1255" t="s">
        <v>3554</v>
      </c>
      <c r="O1255" t="s">
        <v>4132</v>
      </c>
      <c r="P1255" t="s">
        <v>4139</v>
      </c>
      <c r="Q1255" t="s">
        <v>4147</v>
      </c>
      <c r="R1255" t="s">
        <v>3523</v>
      </c>
      <c r="T1255" t="s">
        <v>4156</v>
      </c>
      <c r="U1255" t="s">
        <v>4168</v>
      </c>
      <c r="V1255" t="s">
        <v>241</v>
      </c>
      <c r="W1255">
        <v>1600</v>
      </c>
      <c r="X1255" t="s">
        <v>4193</v>
      </c>
      <c r="Z1255" t="s">
        <v>5274</v>
      </c>
      <c r="AA1255" t="s">
        <v>3526</v>
      </c>
      <c r="AB1255" t="s">
        <v>6588</v>
      </c>
      <c r="AC1255">
        <v>6</v>
      </c>
      <c r="AD1255" t="s">
        <v>6772</v>
      </c>
      <c r="AE1255" t="s">
        <v>3526</v>
      </c>
      <c r="AF1255">
        <v>0</v>
      </c>
      <c r="AG1255">
        <v>1</v>
      </c>
      <c r="AH1255">
        <v>0</v>
      </c>
      <c r="AI1255">
        <v>229.43</v>
      </c>
      <c r="AL1255" t="s">
        <v>6801</v>
      </c>
      <c r="AM1255">
        <v>28656</v>
      </c>
    </row>
    <row r="1256" spans="1:42">
      <c r="A1256" s="1">
        <f>HYPERLINK("https://lsnyc.legalserver.org/matter/dynamic-profile/view/1914809","19-1914809")</f>
        <v>0</v>
      </c>
      <c r="B1256" t="s">
        <v>67</v>
      </c>
      <c r="C1256" t="s">
        <v>267</v>
      </c>
      <c r="E1256" t="s">
        <v>833</v>
      </c>
      <c r="F1256" t="s">
        <v>429</v>
      </c>
      <c r="G1256" t="s">
        <v>2212</v>
      </c>
      <c r="H1256">
        <v>25</v>
      </c>
      <c r="I1256" t="s">
        <v>3490</v>
      </c>
      <c r="J1256">
        <v>11213</v>
      </c>
      <c r="K1256" t="s">
        <v>3522</v>
      </c>
      <c r="L1256" t="s">
        <v>3525</v>
      </c>
      <c r="M1256" t="s">
        <v>3847</v>
      </c>
      <c r="N1256" t="s">
        <v>4115</v>
      </c>
      <c r="O1256" t="s">
        <v>4134</v>
      </c>
      <c r="Q1256" t="s">
        <v>4147</v>
      </c>
      <c r="R1256" t="s">
        <v>3522</v>
      </c>
      <c r="T1256" t="s">
        <v>4156</v>
      </c>
      <c r="U1256" t="s">
        <v>4168</v>
      </c>
      <c r="V1256" t="s">
        <v>4178</v>
      </c>
      <c r="W1256">
        <v>1103.14</v>
      </c>
      <c r="X1256" t="s">
        <v>4193</v>
      </c>
      <c r="Y1256" t="s">
        <v>4198</v>
      </c>
      <c r="Z1256" t="s">
        <v>5275</v>
      </c>
      <c r="AA1256" t="s">
        <v>3562</v>
      </c>
      <c r="AB1256" t="s">
        <v>6589</v>
      </c>
      <c r="AC1256">
        <v>31</v>
      </c>
      <c r="AD1256" t="s">
        <v>6772</v>
      </c>
      <c r="AE1256" t="s">
        <v>3526</v>
      </c>
      <c r="AF1256">
        <v>26</v>
      </c>
      <c r="AG1256">
        <v>1</v>
      </c>
      <c r="AH1256">
        <v>0</v>
      </c>
      <c r="AI1256">
        <v>230.58</v>
      </c>
      <c r="AK1256" t="s">
        <v>6799</v>
      </c>
      <c r="AL1256" t="s">
        <v>6801</v>
      </c>
      <c r="AM1256">
        <v>28800</v>
      </c>
      <c r="AN1256" t="s">
        <v>6878</v>
      </c>
    </row>
    <row r="1257" spans="1:42">
      <c r="A1257" s="1">
        <f>HYPERLINK("https://lsnyc.legalserver.org/matter/dynamic-profile/view/1913900","19-1913900")</f>
        <v>0</v>
      </c>
      <c r="B1257" t="s">
        <v>67</v>
      </c>
      <c r="C1257" t="s">
        <v>199</v>
      </c>
      <c r="E1257" t="s">
        <v>833</v>
      </c>
      <c r="F1257" t="s">
        <v>429</v>
      </c>
      <c r="G1257" t="s">
        <v>2212</v>
      </c>
      <c r="H1257">
        <v>25</v>
      </c>
      <c r="I1257" t="s">
        <v>3490</v>
      </c>
      <c r="J1257">
        <v>11213</v>
      </c>
      <c r="K1257" t="s">
        <v>3522</v>
      </c>
      <c r="L1257" t="s">
        <v>3525</v>
      </c>
      <c r="M1257" t="s">
        <v>3554</v>
      </c>
      <c r="N1257" t="s">
        <v>3554</v>
      </c>
      <c r="O1257" t="s">
        <v>4135</v>
      </c>
      <c r="Q1257" t="s">
        <v>4147</v>
      </c>
      <c r="R1257" t="s">
        <v>3522</v>
      </c>
      <c r="T1257" t="s">
        <v>4156</v>
      </c>
      <c r="U1257" t="s">
        <v>4168</v>
      </c>
      <c r="V1257" t="s">
        <v>199</v>
      </c>
      <c r="W1257">
        <v>1103.14</v>
      </c>
      <c r="X1257" t="s">
        <v>4193</v>
      </c>
      <c r="Y1257" t="s">
        <v>4198</v>
      </c>
      <c r="Z1257" t="s">
        <v>5275</v>
      </c>
      <c r="AB1257" t="s">
        <v>6589</v>
      </c>
      <c r="AC1257">
        <v>31</v>
      </c>
      <c r="AD1257" t="s">
        <v>6772</v>
      </c>
      <c r="AE1257" t="s">
        <v>3526</v>
      </c>
      <c r="AF1257">
        <v>26</v>
      </c>
      <c r="AG1257">
        <v>1</v>
      </c>
      <c r="AH1257">
        <v>0</v>
      </c>
      <c r="AI1257">
        <v>230.58</v>
      </c>
      <c r="AL1257" t="s">
        <v>6801</v>
      </c>
      <c r="AM1257">
        <v>28800</v>
      </c>
    </row>
    <row r="1258" spans="1:42">
      <c r="A1258" s="1">
        <f>HYPERLINK("https://lsnyc.legalserver.org/matter/dynamic-profile/view/1905315","19-1905315")</f>
        <v>0</v>
      </c>
      <c r="B1258" t="s">
        <v>55</v>
      </c>
      <c r="C1258" t="s">
        <v>255</v>
      </c>
      <c r="E1258" t="s">
        <v>1152</v>
      </c>
      <c r="F1258" t="s">
        <v>2015</v>
      </c>
      <c r="G1258" t="s">
        <v>3014</v>
      </c>
      <c r="H1258" t="s">
        <v>3436</v>
      </c>
      <c r="I1258" t="s">
        <v>3490</v>
      </c>
      <c r="J1258">
        <v>11208</v>
      </c>
      <c r="K1258" t="s">
        <v>3522</v>
      </c>
      <c r="L1258" t="s">
        <v>3525</v>
      </c>
      <c r="M1258" t="s">
        <v>4045</v>
      </c>
      <c r="N1258" t="s">
        <v>4109</v>
      </c>
      <c r="O1258" t="s">
        <v>4135</v>
      </c>
      <c r="Q1258" t="s">
        <v>4147</v>
      </c>
      <c r="R1258" t="s">
        <v>3523</v>
      </c>
      <c r="T1258" t="s">
        <v>4156</v>
      </c>
      <c r="U1258" t="s">
        <v>4167</v>
      </c>
      <c r="V1258" t="s">
        <v>255</v>
      </c>
      <c r="W1258">
        <v>1146</v>
      </c>
      <c r="X1258" t="s">
        <v>4193</v>
      </c>
      <c r="Y1258" t="s">
        <v>4204</v>
      </c>
      <c r="Z1258" t="s">
        <v>5276</v>
      </c>
      <c r="AB1258" t="s">
        <v>6590</v>
      </c>
      <c r="AC1258">
        <v>294</v>
      </c>
      <c r="AD1258" t="s">
        <v>6772</v>
      </c>
      <c r="AE1258" t="s">
        <v>6786</v>
      </c>
      <c r="AF1258">
        <v>4</v>
      </c>
      <c r="AG1258">
        <v>1</v>
      </c>
      <c r="AH1258">
        <v>0</v>
      </c>
      <c r="AI1258">
        <v>230.58</v>
      </c>
      <c r="AL1258" t="s">
        <v>6801</v>
      </c>
      <c r="AM1258">
        <v>28800</v>
      </c>
    </row>
    <row r="1259" spans="1:42">
      <c r="A1259" s="1">
        <f>HYPERLINK("https://lsnyc.legalserver.org/matter/dynamic-profile/view/1909792","19-1909792")</f>
        <v>0</v>
      </c>
      <c r="B1259" t="s">
        <v>106</v>
      </c>
      <c r="C1259" t="s">
        <v>227</v>
      </c>
      <c r="D1259" t="s">
        <v>258</v>
      </c>
      <c r="E1259" t="s">
        <v>1153</v>
      </c>
      <c r="F1259" t="s">
        <v>2016</v>
      </c>
      <c r="I1259" t="s">
        <v>3493</v>
      </c>
      <c r="J1259">
        <v>10456</v>
      </c>
      <c r="K1259" t="s">
        <v>3522</v>
      </c>
      <c r="L1259" t="s">
        <v>3525</v>
      </c>
      <c r="N1259" t="s">
        <v>3554</v>
      </c>
      <c r="O1259" t="s">
        <v>4132</v>
      </c>
      <c r="P1259" t="s">
        <v>4139</v>
      </c>
      <c r="Q1259" t="s">
        <v>4147</v>
      </c>
      <c r="T1259" t="s">
        <v>4156</v>
      </c>
      <c r="V1259" t="s">
        <v>258</v>
      </c>
      <c r="W1259">
        <v>900</v>
      </c>
      <c r="X1259" t="s">
        <v>4194</v>
      </c>
      <c r="Y1259" t="s">
        <v>4206</v>
      </c>
      <c r="Z1259" t="s">
        <v>5277</v>
      </c>
      <c r="AB1259" t="s">
        <v>6591</v>
      </c>
      <c r="AC1259">
        <v>30</v>
      </c>
      <c r="AD1259" t="s">
        <v>6772</v>
      </c>
      <c r="AF1259">
        <v>0</v>
      </c>
      <c r="AG1259">
        <v>1</v>
      </c>
      <c r="AH1259">
        <v>0</v>
      </c>
      <c r="AI1259">
        <v>230.58</v>
      </c>
      <c r="AM1259">
        <v>28800</v>
      </c>
    </row>
    <row r="1260" spans="1:42">
      <c r="A1260" s="1">
        <f>HYPERLINK("https://lsnyc.legalserver.org/matter/dynamic-profile/view/1912618","19-1912618")</f>
        <v>0</v>
      </c>
      <c r="B1260" t="s">
        <v>157</v>
      </c>
      <c r="C1260" t="s">
        <v>194</v>
      </c>
      <c r="D1260" t="s">
        <v>192</v>
      </c>
      <c r="E1260" t="s">
        <v>586</v>
      </c>
      <c r="F1260" t="s">
        <v>1979</v>
      </c>
      <c r="G1260" t="s">
        <v>3015</v>
      </c>
      <c r="I1260" t="s">
        <v>3493</v>
      </c>
      <c r="J1260">
        <v>10456</v>
      </c>
      <c r="K1260" t="s">
        <v>3522</v>
      </c>
      <c r="L1260" t="s">
        <v>3525</v>
      </c>
      <c r="M1260" t="s">
        <v>3562</v>
      </c>
      <c r="N1260" t="s">
        <v>3554</v>
      </c>
      <c r="O1260" t="s">
        <v>4132</v>
      </c>
      <c r="P1260" t="s">
        <v>4139</v>
      </c>
      <c r="Q1260" t="s">
        <v>4147</v>
      </c>
      <c r="R1260" t="s">
        <v>3523</v>
      </c>
      <c r="T1260" t="s">
        <v>4156</v>
      </c>
      <c r="V1260" t="s">
        <v>314</v>
      </c>
      <c r="W1260">
        <v>0</v>
      </c>
      <c r="X1260" t="s">
        <v>4194</v>
      </c>
      <c r="Y1260" t="s">
        <v>4206</v>
      </c>
      <c r="Z1260" t="s">
        <v>5219</v>
      </c>
      <c r="AB1260" t="s">
        <v>6541</v>
      </c>
      <c r="AC1260">
        <v>2</v>
      </c>
      <c r="AE1260" t="s">
        <v>3526</v>
      </c>
      <c r="AF1260">
        <v>1</v>
      </c>
      <c r="AG1260">
        <v>1</v>
      </c>
      <c r="AH1260">
        <v>0</v>
      </c>
      <c r="AI1260">
        <v>230.58</v>
      </c>
      <c r="AL1260" t="s">
        <v>6801</v>
      </c>
      <c r="AM1260">
        <v>28800</v>
      </c>
    </row>
    <row r="1261" spans="1:42">
      <c r="A1261" s="1">
        <f>HYPERLINK("https://lsnyc.legalserver.org/matter/dynamic-profile/view/1910096","19-1910096")</f>
        <v>0</v>
      </c>
      <c r="B1261" t="s">
        <v>73</v>
      </c>
      <c r="C1261" t="s">
        <v>230</v>
      </c>
      <c r="E1261" t="s">
        <v>402</v>
      </c>
      <c r="F1261" t="s">
        <v>2017</v>
      </c>
      <c r="G1261" t="s">
        <v>3016</v>
      </c>
      <c r="H1261" t="s">
        <v>3140</v>
      </c>
      <c r="I1261" t="s">
        <v>3493</v>
      </c>
      <c r="J1261">
        <v>10453</v>
      </c>
      <c r="K1261" t="s">
        <v>3522</v>
      </c>
      <c r="L1261" t="s">
        <v>3525</v>
      </c>
      <c r="N1261" t="s">
        <v>3554</v>
      </c>
      <c r="O1261" t="s">
        <v>4132</v>
      </c>
      <c r="Q1261" t="s">
        <v>4147</v>
      </c>
      <c r="R1261" t="s">
        <v>3523</v>
      </c>
      <c r="T1261" t="s">
        <v>4156</v>
      </c>
      <c r="V1261" t="s">
        <v>230</v>
      </c>
      <c r="W1261">
        <v>668.79</v>
      </c>
      <c r="X1261" t="s">
        <v>4194</v>
      </c>
      <c r="Y1261" t="s">
        <v>4206</v>
      </c>
      <c r="Z1261" t="s">
        <v>5278</v>
      </c>
      <c r="AB1261" t="s">
        <v>6592</v>
      </c>
      <c r="AC1261">
        <v>58</v>
      </c>
      <c r="AD1261" t="s">
        <v>6774</v>
      </c>
      <c r="AE1261" t="s">
        <v>6786</v>
      </c>
      <c r="AF1261">
        <v>35</v>
      </c>
      <c r="AG1261">
        <v>1</v>
      </c>
      <c r="AH1261">
        <v>0</v>
      </c>
      <c r="AI1261">
        <v>231.48</v>
      </c>
      <c r="AL1261" t="s">
        <v>6801</v>
      </c>
      <c r="AM1261">
        <v>28912</v>
      </c>
    </row>
    <row r="1262" spans="1:42">
      <c r="A1262" s="1">
        <f>HYPERLINK("https://lsnyc.legalserver.org/matter/dynamic-profile/view/1907712","19-1907712")</f>
        <v>0</v>
      </c>
      <c r="B1262" t="s">
        <v>47</v>
      </c>
      <c r="C1262" t="s">
        <v>284</v>
      </c>
      <c r="E1262" t="s">
        <v>520</v>
      </c>
      <c r="F1262" t="s">
        <v>2018</v>
      </c>
      <c r="G1262" t="s">
        <v>3017</v>
      </c>
      <c r="H1262" t="s">
        <v>3195</v>
      </c>
      <c r="I1262" t="s">
        <v>3486</v>
      </c>
      <c r="J1262">
        <v>11377</v>
      </c>
      <c r="K1262" t="s">
        <v>3522</v>
      </c>
      <c r="L1262" t="s">
        <v>3525</v>
      </c>
      <c r="M1262" t="s">
        <v>4046</v>
      </c>
      <c r="N1262" t="s">
        <v>4110</v>
      </c>
      <c r="O1262" t="s">
        <v>4137</v>
      </c>
      <c r="Q1262" t="s">
        <v>4147</v>
      </c>
      <c r="R1262" t="s">
        <v>3522</v>
      </c>
      <c r="T1262" t="s">
        <v>4156</v>
      </c>
      <c r="U1262" t="s">
        <v>4168</v>
      </c>
      <c r="V1262" t="s">
        <v>284</v>
      </c>
      <c r="W1262">
        <v>0</v>
      </c>
      <c r="X1262" t="s">
        <v>4192</v>
      </c>
      <c r="Y1262" t="s">
        <v>4206</v>
      </c>
      <c r="Z1262" t="s">
        <v>5279</v>
      </c>
      <c r="AB1262" t="s">
        <v>6593</v>
      </c>
      <c r="AC1262">
        <v>390</v>
      </c>
      <c r="AD1262" t="s">
        <v>6772</v>
      </c>
      <c r="AE1262" t="s">
        <v>3526</v>
      </c>
      <c r="AF1262">
        <v>32</v>
      </c>
      <c r="AG1262">
        <v>4</v>
      </c>
      <c r="AH1262">
        <v>0</v>
      </c>
      <c r="AI1262">
        <v>233.01</v>
      </c>
      <c r="AJ1262" t="s">
        <v>269</v>
      </c>
      <c r="AK1262" t="s">
        <v>6799</v>
      </c>
      <c r="AL1262" t="s">
        <v>6802</v>
      </c>
      <c r="AM1262">
        <v>60000</v>
      </c>
      <c r="AP1262" t="s">
        <v>4200</v>
      </c>
    </row>
    <row r="1263" spans="1:42">
      <c r="A1263" s="1">
        <f>HYPERLINK("https://lsnyc.legalserver.org/matter/dynamic-profile/view/1911939","19-1911939")</f>
        <v>0</v>
      </c>
      <c r="B1263" t="s">
        <v>94</v>
      </c>
      <c r="C1263" t="s">
        <v>251</v>
      </c>
      <c r="E1263" t="s">
        <v>389</v>
      </c>
      <c r="F1263" t="s">
        <v>1689</v>
      </c>
      <c r="G1263" t="s">
        <v>2480</v>
      </c>
      <c r="H1263" t="s">
        <v>3300</v>
      </c>
      <c r="I1263" t="s">
        <v>3495</v>
      </c>
      <c r="J1263">
        <v>10035</v>
      </c>
      <c r="K1263" t="s">
        <v>3522</v>
      </c>
      <c r="L1263" t="s">
        <v>3525</v>
      </c>
      <c r="M1263" t="s">
        <v>4047</v>
      </c>
      <c r="N1263" t="s">
        <v>4110</v>
      </c>
      <c r="O1263" t="s">
        <v>4137</v>
      </c>
      <c r="Q1263" t="s">
        <v>4147</v>
      </c>
      <c r="R1263" t="s">
        <v>3522</v>
      </c>
      <c r="T1263" t="s">
        <v>4156</v>
      </c>
      <c r="U1263" t="s">
        <v>4168</v>
      </c>
      <c r="V1263" t="s">
        <v>251</v>
      </c>
      <c r="W1263">
        <v>1116</v>
      </c>
      <c r="X1263" t="s">
        <v>4196</v>
      </c>
      <c r="Y1263" t="s">
        <v>4198</v>
      </c>
      <c r="Z1263" t="s">
        <v>5280</v>
      </c>
      <c r="AC1263">
        <v>60</v>
      </c>
      <c r="AD1263" t="s">
        <v>6772</v>
      </c>
      <c r="AE1263" t="s">
        <v>3526</v>
      </c>
      <c r="AF1263">
        <v>18</v>
      </c>
      <c r="AG1263">
        <v>2</v>
      </c>
      <c r="AH1263">
        <v>2</v>
      </c>
      <c r="AI1263">
        <v>233.01</v>
      </c>
      <c r="AL1263" t="s">
        <v>6801</v>
      </c>
      <c r="AM1263">
        <v>60000</v>
      </c>
    </row>
    <row r="1264" spans="1:42">
      <c r="A1264" s="1">
        <f>HYPERLINK("https://lsnyc.legalserver.org/matter/dynamic-profile/view/1915715","19-1915715")</f>
        <v>0</v>
      </c>
      <c r="B1264" t="s">
        <v>94</v>
      </c>
      <c r="C1264" t="s">
        <v>248</v>
      </c>
      <c r="E1264" t="s">
        <v>389</v>
      </c>
      <c r="F1264" t="s">
        <v>1689</v>
      </c>
      <c r="G1264" t="s">
        <v>2480</v>
      </c>
      <c r="H1264" t="s">
        <v>3300</v>
      </c>
      <c r="I1264" t="s">
        <v>3495</v>
      </c>
      <c r="J1264">
        <v>10035</v>
      </c>
      <c r="K1264" t="s">
        <v>3522</v>
      </c>
      <c r="L1264" t="s">
        <v>3525</v>
      </c>
      <c r="N1264" t="s">
        <v>4110</v>
      </c>
      <c r="O1264" t="s">
        <v>4137</v>
      </c>
      <c r="Q1264" t="s">
        <v>4147</v>
      </c>
      <c r="R1264" t="s">
        <v>3522</v>
      </c>
      <c r="T1264" t="s">
        <v>4156</v>
      </c>
      <c r="U1264" t="s">
        <v>4168</v>
      </c>
      <c r="V1264" t="s">
        <v>248</v>
      </c>
      <c r="W1264">
        <v>1116</v>
      </c>
      <c r="X1264" t="s">
        <v>4196</v>
      </c>
      <c r="Y1264" t="s">
        <v>4201</v>
      </c>
      <c r="Z1264" t="s">
        <v>5280</v>
      </c>
      <c r="AC1264">
        <v>60</v>
      </c>
      <c r="AD1264" t="s">
        <v>6772</v>
      </c>
      <c r="AE1264" t="s">
        <v>3526</v>
      </c>
      <c r="AF1264">
        <v>18</v>
      </c>
      <c r="AG1264">
        <v>2</v>
      </c>
      <c r="AH1264">
        <v>2</v>
      </c>
      <c r="AI1264">
        <v>233.01</v>
      </c>
      <c r="AL1264" t="s">
        <v>6801</v>
      </c>
      <c r="AM1264">
        <v>60000</v>
      </c>
    </row>
    <row r="1265" spans="1:44">
      <c r="A1265" s="1">
        <f>HYPERLINK("https://lsnyc.legalserver.org/matter/dynamic-profile/view/1914283","19-1914283")</f>
        <v>0</v>
      </c>
      <c r="B1265" t="s">
        <v>94</v>
      </c>
      <c r="C1265" t="s">
        <v>245</v>
      </c>
      <c r="E1265" t="s">
        <v>389</v>
      </c>
      <c r="F1265" t="s">
        <v>1689</v>
      </c>
      <c r="G1265" t="s">
        <v>2480</v>
      </c>
      <c r="H1265" t="s">
        <v>3300</v>
      </c>
      <c r="I1265" t="s">
        <v>3495</v>
      </c>
      <c r="J1265">
        <v>10035</v>
      </c>
      <c r="K1265" t="s">
        <v>3522</v>
      </c>
      <c r="L1265" t="s">
        <v>3525</v>
      </c>
      <c r="M1265" t="s">
        <v>4048</v>
      </c>
      <c r="N1265" t="s">
        <v>4108</v>
      </c>
      <c r="O1265" t="s">
        <v>4134</v>
      </c>
      <c r="Q1265" t="s">
        <v>4147</v>
      </c>
      <c r="R1265" t="s">
        <v>3522</v>
      </c>
      <c r="T1265" t="s">
        <v>4156</v>
      </c>
      <c r="U1265" t="s">
        <v>4168</v>
      </c>
      <c r="V1265" t="s">
        <v>245</v>
      </c>
      <c r="W1265">
        <v>1116</v>
      </c>
      <c r="X1265" t="s">
        <v>4196</v>
      </c>
      <c r="Y1265" t="s">
        <v>4198</v>
      </c>
      <c r="Z1265" t="s">
        <v>5280</v>
      </c>
      <c r="AC1265">
        <v>60</v>
      </c>
      <c r="AD1265" t="s">
        <v>6772</v>
      </c>
      <c r="AE1265" t="s">
        <v>3526</v>
      </c>
      <c r="AF1265">
        <v>18</v>
      </c>
      <c r="AG1265">
        <v>2</v>
      </c>
      <c r="AH1265">
        <v>2</v>
      </c>
      <c r="AI1265">
        <v>233.01</v>
      </c>
      <c r="AL1265" t="s">
        <v>6801</v>
      </c>
      <c r="AM1265">
        <v>60000</v>
      </c>
    </row>
    <row r="1266" spans="1:44">
      <c r="A1266" s="1">
        <f>HYPERLINK("https://lsnyc.legalserver.org/matter/dynamic-profile/view/1916379","19-1916379")</f>
        <v>0</v>
      </c>
      <c r="B1266" t="s">
        <v>93</v>
      </c>
      <c r="C1266" t="s">
        <v>223</v>
      </c>
      <c r="D1266" t="s">
        <v>223</v>
      </c>
      <c r="E1266" t="s">
        <v>450</v>
      </c>
      <c r="F1266" t="s">
        <v>2019</v>
      </c>
      <c r="G1266" t="s">
        <v>3018</v>
      </c>
      <c r="H1266">
        <v>10</v>
      </c>
      <c r="I1266" t="s">
        <v>3495</v>
      </c>
      <c r="J1266">
        <v>10034</v>
      </c>
      <c r="K1266" t="s">
        <v>3522</v>
      </c>
      <c r="L1266" t="s">
        <v>3525</v>
      </c>
      <c r="O1266" t="s">
        <v>4132</v>
      </c>
      <c r="P1266" t="s">
        <v>4139</v>
      </c>
      <c r="Q1266" t="s">
        <v>4147</v>
      </c>
      <c r="R1266" t="s">
        <v>3523</v>
      </c>
      <c r="T1266" t="s">
        <v>4156</v>
      </c>
      <c r="V1266" t="s">
        <v>223</v>
      </c>
      <c r="W1266">
        <v>1520.81</v>
      </c>
      <c r="X1266" t="s">
        <v>4196</v>
      </c>
      <c r="Y1266" t="s">
        <v>4205</v>
      </c>
      <c r="Z1266" t="s">
        <v>5281</v>
      </c>
      <c r="AB1266" t="s">
        <v>6594</v>
      </c>
      <c r="AC1266">
        <v>3</v>
      </c>
      <c r="AD1266" t="s">
        <v>6772</v>
      </c>
      <c r="AE1266" t="s">
        <v>3526</v>
      </c>
      <c r="AF1266">
        <v>7</v>
      </c>
      <c r="AG1266">
        <v>3</v>
      </c>
      <c r="AH1266">
        <v>1</v>
      </c>
      <c r="AI1266">
        <v>233.01</v>
      </c>
      <c r="AL1266" t="s">
        <v>6802</v>
      </c>
      <c r="AM1266">
        <v>60000</v>
      </c>
    </row>
    <row r="1267" spans="1:44">
      <c r="A1267" s="1">
        <f>HYPERLINK("https://lsnyc.legalserver.org/matter/dynamic-profile/view/1912664","19-1912664")</f>
        <v>0</v>
      </c>
      <c r="B1267" t="s">
        <v>117</v>
      </c>
      <c r="C1267" t="s">
        <v>287</v>
      </c>
      <c r="E1267" t="s">
        <v>889</v>
      </c>
      <c r="F1267" t="s">
        <v>1950</v>
      </c>
      <c r="G1267" t="s">
        <v>2182</v>
      </c>
      <c r="H1267" t="s">
        <v>3183</v>
      </c>
      <c r="I1267" t="s">
        <v>3487</v>
      </c>
      <c r="J1267">
        <v>11368</v>
      </c>
      <c r="K1267" t="s">
        <v>3523</v>
      </c>
      <c r="L1267" t="s">
        <v>3525</v>
      </c>
      <c r="M1267" t="s">
        <v>4049</v>
      </c>
      <c r="N1267" t="s">
        <v>4109</v>
      </c>
      <c r="O1267" t="s">
        <v>4134</v>
      </c>
      <c r="Q1267" t="s">
        <v>4147</v>
      </c>
      <c r="R1267" t="s">
        <v>3523</v>
      </c>
      <c r="T1267" t="s">
        <v>4156</v>
      </c>
      <c r="U1267" t="s">
        <v>4168</v>
      </c>
      <c r="V1267" t="s">
        <v>223</v>
      </c>
      <c r="W1267">
        <v>1694.28</v>
      </c>
      <c r="X1267" t="s">
        <v>4192</v>
      </c>
      <c r="Y1267" t="s">
        <v>4198</v>
      </c>
      <c r="Z1267" t="s">
        <v>5282</v>
      </c>
      <c r="AA1267" t="s">
        <v>5482</v>
      </c>
      <c r="AB1267" t="s">
        <v>6595</v>
      </c>
      <c r="AC1267">
        <v>237</v>
      </c>
      <c r="AD1267" t="s">
        <v>6772</v>
      </c>
      <c r="AE1267" t="s">
        <v>3526</v>
      </c>
      <c r="AF1267">
        <v>19</v>
      </c>
      <c r="AG1267">
        <v>3</v>
      </c>
      <c r="AH1267">
        <v>0</v>
      </c>
      <c r="AI1267">
        <v>234.41</v>
      </c>
      <c r="AJ1267" t="s">
        <v>208</v>
      </c>
      <c r="AK1267" t="s">
        <v>6799</v>
      </c>
      <c r="AL1267" t="s">
        <v>6801</v>
      </c>
      <c r="AM1267">
        <v>50000</v>
      </c>
    </row>
    <row r="1268" spans="1:44">
      <c r="A1268" s="1">
        <f>HYPERLINK("https://lsnyc.legalserver.org/matter/dynamic-profile/view/1913378","19-1913378")</f>
        <v>0</v>
      </c>
      <c r="B1268" t="s">
        <v>55</v>
      </c>
      <c r="C1268" t="s">
        <v>192</v>
      </c>
      <c r="E1268" t="s">
        <v>409</v>
      </c>
      <c r="F1268" t="s">
        <v>2020</v>
      </c>
      <c r="G1268" t="s">
        <v>3019</v>
      </c>
      <c r="H1268" t="s">
        <v>3252</v>
      </c>
      <c r="I1268" t="s">
        <v>3490</v>
      </c>
      <c r="J1268">
        <v>11212</v>
      </c>
      <c r="K1268" t="s">
        <v>3522</v>
      </c>
      <c r="L1268" t="s">
        <v>3525</v>
      </c>
      <c r="M1268" t="s">
        <v>4050</v>
      </c>
      <c r="N1268" t="s">
        <v>4109</v>
      </c>
      <c r="O1268" t="s">
        <v>4134</v>
      </c>
      <c r="Q1268" t="s">
        <v>4147</v>
      </c>
      <c r="R1268" t="s">
        <v>3523</v>
      </c>
      <c r="T1268" t="s">
        <v>4156</v>
      </c>
      <c r="U1268" t="s">
        <v>4168</v>
      </c>
      <c r="V1268" t="s">
        <v>289</v>
      </c>
      <c r="W1268">
        <v>1500</v>
      </c>
      <c r="X1268" t="s">
        <v>4193</v>
      </c>
      <c r="Y1268" t="s">
        <v>4212</v>
      </c>
      <c r="Z1268" t="s">
        <v>5283</v>
      </c>
      <c r="AA1268" t="s">
        <v>5645</v>
      </c>
      <c r="AB1268" t="s">
        <v>6596</v>
      </c>
      <c r="AC1268">
        <v>32</v>
      </c>
      <c r="AD1268" t="s">
        <v>6772</v>
      </c>
      <c r="AE1268" t="s">
        <v>3526</v>
      </c>
      <c r="AF1268">
        <v>3</v>
      </c>
      <c r="AG1268">
        <v>1</v>
      </c>
      <c r="AH1268">
        <v>2</v>
      </c>
      <c r="AI1268">
        <v>234.41</v>
      </c>
      <c r="AL1268" t="s">
        <v>6801</v>
      </c>
      <c r="AM1268">
        <v>50000</v>
      </c>
    </row>
    <row r="1269" spans="1:44">
      <c r="A1269" s="1">
        <f>HYPERLINK("https://lsnyc.legalserver.org/matter/dynamic-profile/view/1912056","19-1912056")</f>
        <v>0</v>
      </c>
      <c r="B1269" t="s">
        <v>94</v>
      </c>
      <c r="C1269" t="s">
        <v>333</v>
      </c>
      <c r="E1269" t="s">
        <v>516</v>
      </c>
      <c r="F1269" t="s">
        <v>2021</v>
      </c>
      <c r="G1269" t="s">
        <v>2396</v>
      </c>
      <c r="H1269" t="s">
        <v>3155</v>
      </c>
      <c r="I1269" t="s">
        <v>3495</v>
      </c>
      <c r="J1269">
        <v>10035</v>
      </c>
      <c r="K1269" t="s">
        <v>3522</v>
      </c>
      <c r="L1269" t="s">
        <v>3525</v>
      </c>
      <c r="N1269" t="s">
        <v>4108</v>
      </c>
      <c r="O1269" t="s">
        <v>4134</v>
      </c>
      <c r="Q1269" t="s">
        <v>4147</v>
      </c>
      <c r="R1269" t="s">
        <v>3522</v>
      </c>
      <c r="T1269" t="s">
        <v>4156</v>
      </c>
      <c r="U1269" t="s">
        <v>4168</v>
      </c>
      <c r="V1269" t="s">
        <v>251</v>
      </c>
      <c r="W1269">
        <v>2575</v>
      </c>
      <c r="X1269" t="s">
        <v>4196</v>
      </c>
      <c r="Y1269" t="s">
        <v>4198</v>
      </c>
      <c r="Z1269" t="s">
        <v>5284</v>
      </c>
      <c r="AB1269" t="s">
        <v>6597</v>
      </c>
      <c r="AC1269">
        <v>72</v>
      </c>
      <c r="AD1269" t="s">
        <v>6771</v>
      </c>
      <c r="AE1269" t="s">
        <v>3526</v>
      </c>
      <c r="AF1269">
        <v>1</v>
      </c>
      <c r="AG1269">
        <v>3</v>
      </c>
      <c r="AH1269">
        <v>0</v>
      </c>
      <c r="AI1269">
        <v>234.41</v>
      </c>
      <c r="AL1269" t="s">
        <v>6801</v>
      </c>
      <c r="AM1269">
        <v>50000</v>
      </c>
      <c r="AN1269" t="s">
        <v>6879</v>
      </c>
    </row>
    <row r="1270" spans="1:44">
      <c r="A1270" s="1">
        <f>HYPERLINK("https://lsnyc.legalserver.org/matter/dynamic-profile/view/1908391","19-1908391")</f>
        <v>0</v>
      </c>
      <c r="B1270" t="s">
        <v>66</v>
      </c>
      <c r="C1270" t="s">
        <v>303</v>
      </c>
      <c r="E1270" t="s">
        <v>1154</v>
      </c>
      <c r="F1270" t="s">
        <v>2022</v>
      </c>
      <c r="G1270" t="s">
        <v>2870</v>
      </c>
      <c r="H1270" t="s">
        <v>3412</v>
      </c>
      <c r="I1270" t="s">
        <v>3490</v>
      </c>
      <c r="J1270">
        <v>11219</v>
      </c>
      <c r="K1270" t="s">
        <v>3522</v>
      </c>
      <c r="N1270" t="s">
        <v>4112</v>
      </c>
      <c r="O1270" t="s">
        <v>4133</v>
      </c>
      <c r="Q1270" t="s">
        <v>4147</v>
      </c>
      <c r="R1270" t="s">
        <v>3522</v>
      </c>
      <c r="T1270" t="s">
        <v>4156</v>
      </c>
      <c r="V1270" t="s">
        <v>303</v>
      </c>
      <c r="W1270">
        <v>0</v>
      </c>
      <c r="X1270" t="s">
        <v>4193</v>
      </c>
      <c r="Z1270" t="s">
        <v>5285</v>
      </c>
      <c r="AB1270" t="s">
        <v>6598</v>
      </c>
      <c r="AC1270">
        <v>20</v>
      </c>
      <c r="AF1270">
        <v>0</v>
      </c>
      <c r="AG1270">
        <v>3</v>
      </c>
      <c r="AH1270">
        <v>0</v>
      </c>
      <c r="AI1270">
        <v>234.6</v>
      </c>
      <c r="AL1270" t="s">
        <v>6812</v>
      </c>
      <c r="AM1270">
        <v>50040</v>
      </c>
    </row>
    <row r="1271" spans="1:44">
      <c r="A1271" s="1">
        <f>HYPERLINK("https://lsnyc.legalserver.org/matter/dynamic-profile/view/1916036","19-1916036")</f>
        <v>0</v>
      </c>
      <c r="B1271" t="s">
        <v>153</v>
      </c>
      <c r="C1271" t="s">
        <v>299</v>
      </c>
      <c r="E1271" t="s">
        <v>1155</v>
      </c>
      <c r="F1271" t="s">
        <v>2023</v>
      </c>
      <c r="G1271" t="s">
        <v>2585</v>
      </c>
      <c r="H1271" t="s">
        <v>3437</v>
      </c>
      <c r="I1271" t="s">
        <v>3490</v>
      </c>
      <c r="J1271">
        <v>11233</v>
      </c>
      <c r="K1271" t="s">
        <v>3522</v>
      </c>
      <c r="M1271" t="s">
        <v>3526</v>
      </c>
      <c r="N1271" t="s">
        <v>3554</v>
      </c>
      <c r="O1271" t="s">
        <v>4135</v>
      </c>
      <c r="Q1271" t="s">
        <v>4147</v>
      </c>
      <c r="R1271" t="s">
        <v>3523</v>
      </c>
      <c r="T1271" t="s">
        <v>4156</v>
      </c>
      <c r="V1271" t="s">
        <v>273</v>
      </c>
      <c r="W1271">
        <v>594.33</v>
      </c>
      <c r="X1271" t="s">
        <v>4193</v>
      </c>
      <c r="Y1271" t="s">
        <v>4201</v>
      </c>
      <c r="Z1271" t="s">
        <v>5286</v>
      </c>
      <c r="AA1271" t="s">
        <v>3526</v>
      </c>
      <c r="AB1271" t="s">
        <v>6599</v>
      </c>
      <c r="AC1271">
        <v>6</v>
      </c>
      <c r="AD1271" t="s">
        <v>6772</v>
      </c>
      <c r="AE1271" t="s">
        <v>3526</v>
      </c>
      <c r="AF1271">
        <v>42</v>
      </c>
      <c r="AG1271">
        <v>2</v>
      </c>
      <c r="AH1271">
        <v>1</v>
      </c>
      <c r="AI1271">
        <v>235.59</v>
      </c>
      <c r="AL1271" t="s">
        <v>6801</v>
      </c>
      <c r="AM1271">
        <v>50252.28</v>
      </c>
    </row>
    <row r="1272" spans="1:44">
      <c r="A1272" s="1">
        <f>HYPERLINK("https://lsnyc.legalserver.org/matter/dynamic-profile/view/1916030","19-1916030")</f>
        <v>0</v>
      </c>
      <c r="B1272" t="s">
        <v>72</v>
      </c>
      <c r="C1272" t="s">
        <v>299</v>
      </c>
      <c r="E1272" t="s">
        <v>1155</v>
      </c>
      <c r="F1272" t="s">
        <v>2023</v>
      </c>
      <c r="G1272" t="s">
        <v>2585</v>
      </c>
      <c r="H1272" t="s">
        <v>3437</v>
      </c>
      <c r="I1272" t="s">
        <v>3490</v>
      </c>
      <c r="J1272">
        <v>11233</v>
      </c>
      <c r="K1272" t="s">
        <v>3522</v>
      </c>
      <c r="L1272" t="s">
        <v>3526</v>
      </c>
      <c r="M1272" t="s">
        <v>4051</v>
      </c>
      <c r="N1272" t="s">
        <v>4109</v>
      </c>
      <c r="O1272" t="s">
        <v>4134</v>
      </c>
      <c r="Q1272" t="s">
        <v>4147</v>
      </c>
      <c r="R1272" t="s">
        <v>3523</v>
      </c>
      <c r="T1272" t="s">
        <v>4156</v>
      </c>
      <c r="V1272" t="s">
        <v>299</v>
      </c>
      <c r="W1272">
        <v>594.33</v>
      </c>
      <c r="X1272" t="s">
        <v>4193</v>
      </c>
      <c r="Y1272" t="s">
        <v>4201</v>
      </c>
      <c r="Z1272" t="s">
        <v>5286</v>
      </c>
      <c r="AA1272" t="s">
        <v>3526</v>
      </c>
      <c r="AB1272" t="s">
        <v>6599</v>
      </c>
      <c r="AC1272">
        <v>6</v>
      </c>
      <c r="AD1272" t="s">
        <v>6772</v>
      </c>
      <c r="AE1272" t="s">
        <v>3526</v>
      </c>
      <c r="AF1272">
        <v>42</v>
      </c>
      <c r="AG1272">
        <v>2</v>
      </c>
      <c r="AH1272">
        <v>1</v>
      </c>
      <c r="AI1272">
        <v>235.59</v>
      </c>
      <c r="AL1272" t="s">
        <v>6801</v>
      </c>
      <c r="AM1272">
        <v>50252.28</v>
      </c>
      <c r="AN1272" t="s">
        <v>6880</v>
      </c>
    </row>
    <row r="1273" spans="1:44">
      <c r="A1273" s="1">
        <f>HYPERLINK("https://lsnyc.legalserver.org/matter/dynamic-profile/view/1916444","19-1916444")</f>
        <v>0</v>
      </c>
      <c r="B1273" t="s">
        <v>52</v>
      </c>
      <c r="C1273" t="s">
        <v>223</v>
      </c>
      <c r="E1273" t="s">
        <v>932</v>
      </c>
      <c r="F1273" t="s">
        <v>1398</v>
      </c>
      <c r="G1273" t="s">
        <v>2640</v>
      </c>
      <c r="H1273" t="s">
        <v>3170</v>
      </c>
      <c r="I1273" t="s">
        <v>3490</v>
      </c>
      <c r="J1273">
        <v>11220</v>
      </c>
      <c r="K1273" t="s">
        <v>3522</v>
      </c>
      <c r="L1273" t="s">
        <v>3525</v>
      </c>
      <c r="N1273" t="s">
        <v>4115</v>
      </c>
      <c r="O1273" t="s">
        <v>4134</v>
      </c>
      <c r="Q1273" t="s">
        <v>4147</v>
      </c>
      <c r="R1273" t="s">
        <v>3522</v>
      </c>
      <c r="T1273" t="s">
        <v>4156</v>
      </c>
      <c r="V1273" t="s">
        <v>208</v>
      </c>
      <c r="W1273">
        <v>745</v>
      </c>
      <c r="X1273" t="s">
        <v>4193</v>
      </c>
      <c r="Z1273" t="s">
        <v>4935</v>
      </c>
      <c r="AB1273" t="s">
        <v>6281</v>
      </c>
      <c r="AC1273">
        <v>54</v>
      </c>
      <c r="AD1273" t="s">
        <v>6772</v>
      </c>
      <c r="AF1273">
        <v>40</v>
      </c>
      <c r="AG1273">
        <v>3</v>
      </c>
      <c r="AH1273">
        <v>3</v>
      </c>
      <c r="AI1273">
        <v>236.37</v>
      </c>
      <c r="AL1273" t="s">
        <v>6801</v>
      </c>
      <c r="AM1273">
        <v>81760</v>
      </c>
    </row>
    <row r="1274" spans="1:44">
      <c r="A1274" s="1">
        <f>HYPERLINK("https://lsnyc.legalserver.org/matter/dynamic-profile/view/1904227","19-1904227")</f>
        <v>0</v>
      </c>
      <c r="B1274" t="s">
        <v>63</v>
      </c>
      <c r="C1274" t="s">
        <v>209</v>
      </c>
      <c r="D1274" t="s">
        <v>220</v>
      </c>
      <c r="E1274" t="s">
        <v>574</v>
      </c>
      <c r="F1274" t="s">
        <v>2024</v>
      </c>
      <c r="G1274" t="s">
        <v>2527</v>
      </c>
      <c r="H1274" t="s">
        <v>3131</v>
      </c>
      <c r="I1274" t="s">
        <v>3490</v>
      </c>
      <c r="J1274">
        <v>11221</v>
      </c>
      <c r="K1274" t="s">
        <v>3522</v>
      </c>
      <c r="L1274" t="s">
        <v>3525</v>
      </c>
      <c r="M1274" t="s">
        <v>4052</v>
      </c>
      <c r="N1274" t="s">
        <v>4109</v>
      </c>
      <c r="O1274" t="s">
        <v>4134</v>
      </c>
      <c r="P1274" t="s">
        <v>4140</v>
      </c>
      <c r="Q1274" t="s">
        <v>4147</v>
      </c>
      <c r="R1274" t="s">
        <v>3523</v>
      </c>
      <c r="T1274" t="s">
        <v>4156</v>
      </c>
      <c r="U1274" t="s">
        <v>4168</v>
      </c>
      <c r="V1274" t="s">
        <v>336</v>
      </c>
      <c r="W1274">
        <v>880.65</v>
      </c>
      <c r="X1274" t="s">
        <v>4193</v>
      </c>
      <c r="Y1274" t="s">
        <v>4206</v>
      </c>
      <c r="Z1274" t="s">
        <v>5287</v>
      </c>
      <c r="AA1274" t="s">
        <v>3526</v>
      </c>
      <c r="AB1274" t="s">
        <v>6600</v>
      </c>
      <c r="AC1274">
        <v>12</v>
      </c>
      <c r="AD1274" t="s">
        <v>6772</v>
      </c>
      <c r="AE1274" t="s">
        <v>3526</v>
      </c>
      <c r="AF1274">
        <v>17</v>
      </c>
      <c r="AG1274">
        <v>1</v>
      </c>
      <c r="AH1274">
        <v>1</v>
      </c>
      <c r="AI1274">
        <v>236.55</v>
      </c>
      <c r="AL1274" t="s">
        <v>6801</v>
      </c>
      <c r="AM1274">
        <v>40000</v>
      </c>
      <c r="AN1274" t="s">
        <v>6881</v>
      </c>
      <c r="AO1274" t="s">
        <v>6915</v>
      </c>
      <c r="AP1274" t="s">
        <v>6928</v>
      </c>
      <c r="AQ1274" t="s">
        <v>6945</v>
      </c>
      <c r="AR1274" t="s">
        <v>7014</v>
      </c>
    </row>
    <row r="1275" spans="1:44">
      <c r="A1275" s="1">
        <f>HYPERLINK("https://lsnyc.legalserver.org/matter/dynamic-profile/view/1906136","19-1906136")</f>
        <v>0</v>
      </c>
      <c r="B1275" t="s">
        <v>59</v>
      </c>
      <c r="C1275" t="s">
        <v>207</v>
      </c>
      <c r="E1275" t="s">
        <v>794</v>
      </c>
      <c r="F1275" t="s">
        <v>2025</v>
      </c>
      <c r="G1275" t="s">
        <v>3020</v>
      </c>
      <c r="H1275" t="s">
        <v>3438</v>
      </c>
      <c r="I1275" t="s">
        <v>3490</v>
      </c>
      <c r="J1275">
        <v>11216</v>
      </c>
      <c r="K1275" t="s">
        <v>3522</v>
      </c>
      <c r="L1275" t="s">
        <v>3525</v>
      </c>
      <c r="M1275" t="s">
        <v>4053</v>
      </c>
      <c r="N1275" t="s">
        <v>4115</v>
      </c>
      <c r="O1275" t="s">
        <v>4134</v>
      </c>
      <c r="Q1275" t="s">
        <v>4147</v>
      </c>
      <c r="R1275" t="s">
        <v>3522</v>
      </c>
      <c r="T1275" t="s">
        <v>4156</v>
      </c>
      <c r="U1275" t="s">
        <v>4168</v>
      </c>
      <c r="V1275" t="s">
        <v>207</v>
      </c>
      <c r="W1275">
        <v>1550</v>
      </c>
      <c r="X1275" t="s">
        <v>4193</v>
      </c>
      <c r="Y1275" t="s">
        <v>4198</v>
      </c>
      <c r="Z1275" t="s">
        <v>5288</v>
      </c>
      <c r="AA1275" t="s">
        <v>3526</v>
      </c>
      <c r="AB1275" t="s">
        <v>6601</v>
      </c>
      <c r="AC1275">
        <v>82</v>
      </c>
      <c r="AD1275" t="s">
        <v>6772</v>
      </c>
      <c r="AE1275" t="s">
        <v>3526</v>
      </c>
      <c r="AF1275">
        <v>1</v>
      </c>
      <c r="AG1275">
        <v>2</v>
      </c>
      <c r="AH1275">
        <v>0</v>
      </c>
      <c r="AI1275">
        <v>236.55</v>
      </c>
      <c r="AJ1275" t="s">
        <v>269</v>
      </c>
      <c r="AK1275" t="s">
        <v>6799</v>
      </c>
      <c r="AL1275" t="s">
        <v>6801</v>
      </c>
      <c r="AM1275">
        <v>40000</v>
      </c>
    </row>
    <row r="1276" spans="1:44">
      <c r="A1276" s="1">
        <f>HYPERLINK("https://lsnyc.legalserver.org/matter/dynamic-profile/view/1906138","19-1906138")</f>
        <v>0</v>
      </c>
      <c r="B1276" t="s">
        <v>59</v>
      </c>
      <c r="C1276" t="s">
        <v>207</v>
      </c>
      <c r="E1276" t="s">
        <v>794</v>
      </c>
      <c r="F1276" t="s">
        <v>2025</v>
      </c>
      <c r="G1276" t="s">
        <v>3020</v>
      </c>
      <c r="H1276" t="s">
        <v>3438</v>
      </c>
      <c r="I1276" t="s">
        <v>3490</v>
      </c>
      <c r="J1276">
        <v>11216</v>
      </c>
      <c r="K1276" t="s">
        <v>3522</v>
      </c>
      <c r="L1276" t="s">
        <v>3525</v>
      </c>
      <c r="M1276" t="s">
        <v>3554</v>
      </c>
      <c r="N1276" t="s">
        <v>3554</v>
      </c>
      <c r="O1276" t="s">
        <v>4135</v>
      </c>
      <c r="Q1276" t="s">
        <v>4147</v>
      </c>
      <c r="R1276" t="s">
        <v>3522</v>
      </c>
      <c r="T1276" t="s">
        <v>4156</v>
      </c>
      <c r="U1276" t="s">
        <v>4168</v>
      </c>
      <c r="V1276" t="s">
        <v>207</v>
      </c>
      <c r="W1276">
        <v>0</v>
      </c>
      <c r="X1276" t="s">
        <v>4193</v>
      </c>
      <c r="Y1276" t="s">
        <v>4198</v>
      </c>
      <c r="Z1276" t="s">
        <v>5288</v>
      </c>
      <c r="AA1276" t="s">
        <v>3562</v>
      </c>
      <c r="AB1276" t="s">
        <v>6601</v>
      </c>
      <c r="AC1276">
        <v>82</v>
      </c>
      <c r="AD1276" t="s">
        <v>6772</v>
      </c>
      <c r="AE1276" t="s">
        <v>3526</v>
      </c>
      <c r="AF1276">
        <v>1</v>
      </c>
      <c r="AG1276">
        <v>2</v>
      </c>
      <c r="AH1276">
        <v>0</v>
      </c>
      <c r="AI1276">
        <v>236.55</v>
      </c>
      <c r="AK1276" t="s">
        <v>6799</v>
      </c>
      <c r="AL1276" t="s">
        <v>6801</v>
      </c>
      <c r="AM1276">
        <v>40000</v>
      </c>
    </row>
    <row r="1277" spans="1:44">
      <c r="A1277" s="1">
        <f>HYPERLINK("https://lsnyc.legalserver.org/matter/dynamic-profile/view/1894949","19-1894949")</f>
        <v>0</v>
      </c>
      <c r="B1277" t="s">
        <v>56</v>
      </c>
      <c r="C1277" t="s">
        <v>288</v>
      </c>
      <c r="D1277" t="s">
        <v>321</v>
      </c>
      <c r="E1277" t="s">
        <v>1156</v>
      </c>
      <c r="F1277" t="s">
        <v>2026</v>
      </c>
      <c r="G1277" t="s">
        <v>3021</v>
      </c>
      <c r="H1277" t="s">
        <v>3439</v>
      </c>
      <c r="I1277" t="s">
        <v>3490</v>
      </c>
      <c r="J1277">
        <v>11207</v>
      </c>
      <c r="K1277" t="s">
        <v>3522</v>
      </c>
      <c r="L1277" t="s">
        <v>3525</v>
      </c>
      <c r="M1277" t="s">
        <v>4054</v>
      </c>
      <c r="N1277" t="s">
        <v>4107</v>
      </c>
      <c r="O1277" t="s">
        <v>4134</v>
      </c>
      <c r="P1277" t="s">
        <v>4140</v>
      </c>
      <c r="Q1277" t="s">
        <v>4147</v>
      </c>
      <c r="R1277" t="s">
        <v>3522</v>
      </c>
      <c r="T1277" t="s">
        <v>4156</v>
      </c>
      <c r="U1277" t="s">
        <v>4168</v>
      </c>
      <c r="V1277" t="s">
        <v>336</v>
      </c>
      <c r="W1277">
        <v>0</v>
      </c>
      <c r="X1277" t="s">
        <v>4193</v>
      </c>
      <c r="Z1277" t="s">
        <v>5289</v>
      </c>
      <c r="AC1277">
        <v>2</v>
      </c>
      <c r="AE1277" t="s">
        <v>4200</v>
      </c>
      <c r="AF1277">
        <v>1</v>
      </c>
      <c r="AG1277">
        <v>2</v>
      </c>
      <c r="AH1277">
        <v>0</v>
      </c>
      <c r="AI1277">
        <v>236.55</v>
      </c>
      <c r="AL1277" t="s">
        <v>6801</v>
      </c>
      <c r="AM1277">
        <v>40000</v>
      </c>
      <c r="AN1277" t="s">
        <v>6882</v>
      </c>
    </row>
    <row r="1278" spans="1:44">
      <c r="A1278" s="1">
        <f>HYPERLINK("https://lsnyc.legalserver.org/matter/dynamic-profile/view/1905408","19-1905408")</f>
        <v>0</v>
      </c>
      <c r="B1278" t="s">
        <v>83</v>
      </c>
      <c r="C1278" t="s">
        <v>266</v>
      </c>
      <c r="D1278" t="s">
        <v>276</v>
      </c>
      <c r="E1278" t="s">
        <v>389</v>
      </c>
      <c r="F1278" t="s">
        <v>1336</v>
      </c>
      <c r="G1278" t="s">
        <v>3022</v>
      </c>
      <c r="H1278" t="s">
        <v>3199</v>
      </c>
      <c r="I1278" t="s">
        <v>3493</v>
      </c>
      <c r="J1278">
        <v>10468</v>
      </c>
      <c r="K1278" t="s">
        <v>3522</v>
      </c>
      <c r="L1278" t="s">
        <v>3525</v>
      </c>
      <c r="M1278" t="s">
        <v>4055</v>
      </c>
      <c r="N1278" t="s">
        <v>4109</v>
      </c>
      <c r="O1278" t="s">
        <v>4132</v>
      </c>
      <c r="P1278" t="s">
        <v>4139</v>
      </c>
      <c r="Q1278" t="s">
        <v>4147</v>
      </c>
      <c r="R1278" t="s">
        <v>3523</v>
      </c>
      <c r="T1278" t="s">
        <v>4156</v>
      </c>
      <c r="U1278" t="s">
        <v>4169</v>
      </c>
      <c r="V1278" t="s">
        <v>241</v>
      </c>
      <c r="W1278">
        <v>795.78</v>
      </c>
      <c r="X1278" t="s">
        <v>4194</v>
      </c>
      <c r="Y1278" t="s">
        <v>4206</v>
      </c>
      <c r="Z1278" t="s">
        <v>5290</v>
      </c>
      <c r="AB1278" t="s">
        <v>6602</v>
      </c>
      <c r="AC1278">
        <v>83</v>
      </c>
      <c r="AD1278" t="s">
        <v>6772</v>
      </c>
      <c r="AE1278" t="s">
        <v>3526</v>
      </c>
      <c r="AF1278">
        <v>33</v>
      </c>
      <c r="AG1278">
        <v>2</v>
      </c>
      <c r="AH1278">
        <v>0</v>
      </c>
      <c r="AI1278">
        <v>236.55</v>
      </c>
      <c r="AL1278" t="s">
        <v>6801</v>
      </c>
      <c r="AM1278">
        <v>40000</v>
      </c>
    </row>
    <row r="1279" spans="1:44">
      <c r="A1279" s="1">
        <f>HYPERLINK("https://lsnyc.legalserver.org/matter/dynamic-profile/view/1916002","19-1916002")</f>
        <v>0</v>
      </c>
      <c r="B1279" t="s">
        <v>120</v>
      </c>
      <c r="C1279" t="s">
        <v>299</v>
      </c>
      <c r="E1279" t="s">
        <v>891</v>
      </c>
      <c r="F1279" t="s">
        <v>2027</v>
      </c>
      <c r="G1279" t="s">
        <v>2390</v>
      </c>
      <c r="H1279" t="s">
        <v>3440</v>
      </c>
      <c r="I1279" t="s">
        <v>3494</v>
      </c>
      <c r="J1279">
        <v>10314</v>
      </c>
      <c r="K1279" t="s">
        <v>3522</v>
      </c>
      <c r="L1279" t="s">
        <v>3525</v>
      </c>
      <c r="M1279" t="s">
        <v>3553</v>
      </c>
      <c r="N1279" t="s">
        <v>4110</v>
      </c>
      <c r="O1279" t="s">
        <v>4137</v>
      </c>
      <c r="Q1279" t="s">
        <v>4147</v>
      </c>
      <c r="R1279" t="s">
        <v>3522</v>
      </c>
      <c r="T1279" t="s">
        <v>4156</v>
      </c>
      <c r="U1279" t="s">
        <v>4168</v>
      </c>
      <c r="V1279" t="s">
        <v>299</v>
      </c>
      <c r="W1279">
        <v>967</v>
      </c>
      <c r="X1279" t="s">
        <v>4195</v>
      </c>
      <c r="Y1279" t="s">
        <v>4201</v>
      </c>
      <c r="Z1279" t="s">
        <v>5291</v>
      </c>
      <c r="AB1279" t="s">
        <v>6603</v>
      </c>
      <c r="AC1279">
        <v>96</v>
      </c>
      <c r="AD1279" t="s">
        <v>6772</v>
      </c>
      <c r="AE1279" t="s">
        <v>6791</v>
      </c>
      <c r="AF1279">
        <v>8</v>
      </c>
      <c r="AG1279">
        <v>1</v>
      </c>
      <c r="AH1279">
        <v>0</v>
      </c>
      <c r="AI1279">
        <v>236.89</v>
      </c>
      <c r="AL1279" t="s">
        <v>6801</v>
      </c>
      <c r="AM1279">
        <v>29587.92</v>
      </c>
    </row>
    <row r="1280" spans="1:44">
      <c r="A1280" s="1">
        <f>HYPERLINK("https://lsnyc.legalserver.org/matter/dynamic-profile/view/1904238","19-1904238")</f>
        <v>0</v>
      </c>
      <c r="B1280" t="s">
        <v>135</v>
      </c>
      <c r="C1280" t="s">
        <v>272</v>
      </c>
      <c r="E1280" t="s">
        <v>891</v>
      </c>
      <c r="F1280" t="s">
        <v>2027</v>
      </c>
      <c r="G1280" t="s">
        <v>2390</v>
      </c>
      <c r="H1280" t="s">
        <v>3440</v>
      </c>
      <c r="I1280" t="s">
        <v>3494</v>
      </c>
      <c r="J1280">
        <v>10314</v>
      </c>
      <c r="K1280" t="s">
        <v>3522</v>
      </c>
      <c r="L1280" t="s">
        <v>3525</v>
      </c>
      <c r="M1280" t="s">
        <v>3553</v>
      </c>
      <c r="N1280" t="s">
        <v>4112</v>
      </c>
      <c r="O1280" t="s">
        <v>4133</v>
      </c>
      <c r="Q1280" t="s">
        <v>4147</v>
      </c>
      <c r="R1280" t="s">
        <v>3523</v>
      </c>
      <c r="T1280" t="s">
        <v>4156</v>
      </c>
      <c r="U1280" t="s">
        <v>4168</v>
      </c>
      <c r="V1280" t="s">
        <v>216</v>
      </c>
      <c r="W1280">
        <v>967</v>
      </c>
      <c r="X1280" t="s">
        <v>4195</v>
      </c>
      <c r="Y1280" t="s">
        <v>4201</v>
      </c>
      <c r="Z1280" t="s">
        <v>5291</v>
      </c>
      <c r="AB1280" t="s">
        <v>6603</v>
      </c>
      <c r="AC1280">
        <v>96</v>
      </c>
      <c r="AD1280" t="s">
        <v>6772</v>
      </c>
      <c r="AE1280" t="s">
        <v>6791</v>
      </c>
      <c r="AF1280">
        <v>8</v>
      </c>
      <c r="AG1280">
        <v>1</v>
      </c>
      <c r="AH1280">
        <v>0</v>
      </c>
      <c r="AI1280">
        <v>236.89</v>
      </c>
      <c r="AJ1280" t="s">
        <v>216</v>
      </c>
      <c r="AK1280" t="s">
        <v>6799</v>
      </c>
      <c r="AL1280" t="s">
        <v>6801</v>
      </c>
      <c r="AM1280">
        <v>29587.92</v>
      </c>
    </row>
    <row r="1281" spans="1:44">
      <c r="A1281" s="1">
        <f>HYPERLINK("https://lsnyc.legalserver.org/matter/dynamic-profile/view/1903243","19-1903243")</f>
        <v>0</v>
      </c>
      <c r="B1281" t="s">
        <v>84</v>
      </c>
      <c r="C1281" t="s">
        <v>246</v>
      </c>
      <c r="E1281" t="s">
        <v>514</v>
      </c>
      <c r="F1281" t="s">
        <v>2028</v>
      </c>
      <c r="G1281" t="s">
        <v>3023</v>
      </c>
      <c r="I1281" t="s">
        <v>3494</v>
      </c>
      <c r="J1281">
        <v>10301</v>
      </c>
      <c r="K1281" t="s">
        <v>3522</v>
      </c>
      <c r="L1281" t="s">
        <v>3525</v>
      </c>
      <c r="M1281" t="s">
        <v>4056</v>
      </c>
      <c r="N1281" t="s">
        <v>4107</v>
      </c>
      <c r="O1281" t="s">
        <v>4134</v>
      </c>
      <c r="Q1281" t="s">
        <v>4147</v>
      </c>
      <c r="R1281" t="s">
        <v>3523</v>
      </c>
      <c r="T1281" t="s">
        <v>4156</v>
      </c>
      <c r="U1281" t="s">
        <v>4169</v>
      </c>
      <c r="V1281" t="s">
        <v>336</v>
      </c>
      <c r="W1281">
        <v>1490</v>
      </c>
      <c r="X1281" t="s">
        <v>4195</v>
      </c>
      <c r="Y1281" t="s">
        <v>4203</v>
      </c>
      <c r="Z1281" t="s">
        <v>5292</v>
      </c>
      <c r="AB1281" t="s">
        <v>6604</v>
      </c>
      <c r="AC1281">
        <v>4</v>
      </c>
      <c r="AD1281" t="s">
        <v>6772</v>
      </c>
      <c r="AE1281" t="s">
        <v>3526</v>
      </c>
      <c r="AF1281">
        <v>20</v>
      </c>
      <c r="AG1281">
        <v>2</v>
      </c>
      <c r="AH1281">
        <v>0</v>
      </c>
      <c r="AI1281">
        <v>238.82</v>
      </c>
      <c r="AJ1281" t="s">
        <v>179</v>
      </c>
      <c r="AK1281" t="s">
        <v>6799</v>
      </c>
      <c r="AL1281" t="s">
        <v>6801</v>
      </c>
      <c r="AM1281">
        <v>40384</v>
      </c>
      <c r="AO1281" t="s">
        <v>6917</v>
      </c>
      <c r="AP1281" t="s">
        <v>6943</v>
      </c>
      <c r="AQ1281" t="s">
        <v>6945</v>
      </c>
      <c r="AR1281" t="s">
        <v>6972</v>
      </c>
    </row>
    <row r="1282" spans="1:44">
      <c r="A1282" s="1">
        <f>HYPERLINK("https://lsnyc.legalserver.org/matter/dynamic-profile/view/1901929","19-1901929")</f>
        <v>0</v>
      </c>
      <c r="B1282" t="s">
        <v>60</v>
      </c>
      <c r="C1282" t="s">
        <v>346</v>
      </c>
      <c r="E1282" t="s">
        <v>1157</v>
      </c>
      <c r="F1282" t="s">
        <v>2029</v>
      </c>
      <c r="G1282" t="s">
        <v>3024</v>
      </c>
      <c r="H1282" t="s">
        <v>3220</v>
      </c>
      <c r="I1282" t="s">
        <v>3490</v>
      </c>
      <c r="J1282">
        <v>11233</v>
      </c>
      <c r="K1282" t="s">
        <v>3522</v>
      </c>
      <c r="L1282" t="s">
        <v>3525</v>
      </c>
      <c r="M1282" t="s">
        <v>4057</v>
      </c>
      <c r="N1282" t="s">
        <v>4109</v>
      </c>
      <c r="O1282" t="s">
        <v>4134</v>
      </c>
      <c r="Q1282" t="s">
        <v>4147</v>
      </c>
      <c r="R1282" t="s">
        <v>3523</v>
      </c>
      <c r="T1282" t="s">
        <v>4156</v>
      </c>
      <c r="U1282" t="s">
        <v>4168</v>
      </c>
      <c r="V1282" t="s">
        <v>336</v>
      </c>
      <c r="W1282">
        <v>1052</v>
      </c>
      <c r="X1282" t="s">
        <v>4193</v>
      </c>
      <c r="Y1282" t="s">
        <v>4201</v>
      </c>
      <c r="Z1282" t="s">
        <v>5293</v>
      </c>
      <c r="AA1282" t="s">
        <v>3526</v>
      </c>
      <c r="AB1282" t="s">
        <v>6605</v>
      </c>
      <c r="AC1282">
        <v>12</v>
      </c>
      <c r="AD1282" t="s">
        <v>6772</v>
      </c>
      <c r="AE1282" t="s">
        <v>3526</v>
      </c>
      <c r="AF1282">
        <v>8</v>
      </c>
      <c r="AG1282">
        <v>2</v>
      </c>
      <c r="AH1282">
        <v>0</v>
      </c>
      <c r="AI1282">
        <v>239.06</v>
      </c>
      <c r="AJ1282" t="s">
        <v>208</v>
      </c>
      <c r="AK1282" t="s">
        <v>6799</v>
      </c>
      <c r="AL1282" t="s">
        <v>6801</v>
      </c>
      <c r="AM1282">
        <v>40425</v>
      </c>
    </row>
    <row r="1283" spans="1:44">
      <c r="A1283" s="1">
        <f>HYPERLINK("https://lsnyc.legalserver.org/matter/dynamic-profile/view/1907121","19-1907121")</f>
        <v>0</v>
      </c>
      <c r="B1283" t="s">
        <v>49</v>
      </c>
      <c r="C1283" t="s">
        <v>344</v>
      </c>
      <c r="E1283" t="s">
        <v>1158</v>
      </c>
      <c r="F1283" t="s">
        <v>2030</v>
      </c>
      <c r="G1283" t="s">
        <v>3025</v>
      </c>
      <c r="H1283" t="s">
        <v>3441</v>
      </c>
      <c r="I1283" t="s">
        <v>3487</v>
      </c>
      <c r="J1283">
        <v>11368</v>
      </c>
      <c r="K1283" t="s">
        <v>3522</v>
      </c>
      <c r="L1283" t="s">
        <v>3525</v>
      </c>
      <c r="M1283" t="s">
        <v>4058</v>
      </c>
      <c r="N1283" t="s">
        <v>4110</v>
      </c>
      <c r="O1283" t="s">
        <v>4137</v>
      </c>
      <c r="Q1283" t="s">
        <v>4147</v>
      </c>
      <c r="R1283" t="s">
        <v>3522</v>
      </c>
      <c r="T1283" t="s">
        <v>4156</v>
      </c>
      <c r="U1283" t="s">
        <v>4168</v>
      </c>
      <c r="V1283" t="s">
        <v>4174</v>
      </c>
      <c r="W1283">
        <v>932</v>
      </c>
      <c r="X1283" t="s">
        <v>4192</v>
      </c>
      <c r="Y1283" t="s">
        <v>4198</v>
      </c>
      <c r="Z1283" t="s">
        <v>5294</v>
      </c>
      <c r="AA1283" t="s">
        <v>5482</v>
      </c>
      <c r="AB1283" t="s">
        <v>6606</v>
      </c>
      <c r="AC1283">
        <v>30</v>
      </c>
      <c r="AD1283" t="s">
        <v>6772</v>
      </c>
      <c r="AE1283" t="s">
        <v>6791</v>
      </c>
      <c r="AF1283">
        <v>42</v>
      </c>
      <c r="AG1283">
        <v>1</v>
      </c>
      <c r="AH1283">
        <v>0</v>
      </c>
      <c r="AI1283">
        <v>240.19</v>
      </c>
      <c r="AL1283" t="s">
        <v>6801</v>
      </c>
      <c r="AM1283">
        <v>30000</v>
      </c>
    </row>
    <row r="1284" spans="1:44">
      <c r="A1284" s="1">
        <f>HYPERLINK("https://lsnyc.legalserver.org/matter/dynamic-profile/view/1907120","19-1907120")</f>
        <v>0</v>
      </c>
      <c r="B1284" t="s">
        <v>49</v>
      </c>
      <c r="C1284" t="s">
        <v>344</v>
      </c>
      <c r="E1284" t="s">
        <v>1158</v>
      </c>
      <c r="F1284" t="s">
        <v>2030</v>
      </c>
      <c r="G1284" t="s">
        <v>3025</v>
      </c>
      <c r="H1284" t="s">
        <v>3441</v>
      </c>
      <c r="I1284" t="s">
        <v>3487</v>
      </c>
      <c r="J1284">
        <v>11368</v>
      </c>
      <c r="K1284" t="s">
        <v>3522</v>
      </c>
      <c r="L1284" t="s">
        <v>3525</v>
      </c>
      <c r="M1284" t="s">
        <v>4059</v>
      </c>
      <c r="N1284" t="s">
        <v>4109</v>
      </c>
      <c r="O1284" t="s">
        <v>4134</v>
      </c>
      <c r="Q1284" t="s">
        <v>4147</v>
      </c>
      <c r="R1284" t="s">
        <v>3523</v>
      </c>
      <c r="T1284" t="s">
        <v>4156</v>
      </c>
      <c r="U1284" t="s">
        <v>4168</v>
      </c>
      <c r="V1284" t="s">
        <v>4174</v>
      </c>
      <c r="W1284">
        <v>932</v>
      </c>
      <c r="X1284" t="s">
        <v>4192</v>
      </c>
      <c r="Y1284" t="s">
        <v>4200</v>
      </c>
      <c r="Z1284" t="s">
        <v>5294</v>
      </c>
      <c r="AA1284" t="s">
        <v>5482</v>
      </c>
      <c r="AB1284" t="s">
        <v>6606</v>
      </c>
      <c r="AC1284">
        <v>30</v>
      </c>
      <c r="AD1284" t="s">
        <v>6772</v>
      </c>
      <c r="AE1284" t="s">
        <v>6791</v>
      </c>
      <c r="AF1284">
        <v>42</v>
      </c>
      <c r="AG1284">
        <v>1</v>
      </c>
      <c r="AH1284">
        <v>0</v>
      </c>
      <c r="AI1284">
        <v>240.19</v>
      </c>
      <c r="AL1284" t="s">
        <v>6801</v>
      </c>
      <c r="AM1284">
        <v>30000</v>
      </c>
      <c r="AP1284" t="s">
        <v>6926</v>
      </c>
      <c r="AQ1284" t="s">
        <v>6945</v>
      </c>
      <c r="AR1284" t="s">
        <v>7016</v>
      </c>
    </row>
    <row r="1285" spans="1:44">
      <c r="A1285" s="1">
        <f>HYPERLINK("https://lsnyc.legalserver.org/matter/dynamic-profile/view/1916445","19-1916445")</f>
        <v>0</v>
      </c>
      <c r="B1285" t="s">
        <v>52</v>
      </c>
      <c r="C1285" t="s">
        <v>297</v>
      </c>
      <c r="E1285" t="s">
        <v>838</v>
      </c>
      <c r="F1285" t="s">
        <v>1301</v>
      </c>
      <c r="G1285" t="s">
        <v>2640</v>
      </c>
      <c r="H1285" t="s">
        <v>3335</v>
      </c>
      <c r="I1285" t="s">
        <v>3490</v>
      </c>
      <c r="J1285">
        <v>11220</v>
      </c>
      <c r="K1285" t="s">
        <v>3522</v>
      </c>
      <c r="L1285" t="s">
        <v>3525</v>
      </c>
      <c r="N1285" t="s">
        <v>4115</v>
      </c>
      <c r="O1285" t="s">
        <v>4134</v>
      </c>
      <c r="Q1285" t="s">
        <v>4147</v>
      </c>
      <c r="R1285" t="s">
        <v>3522</v>
      </c>
      <c r="T1285" t="s">
        <v>4156</v>
      </c>
      <c r="V1285" t="s">
        <v>208</v>
      </c>
      <c r="W1285">
        <v>1167.7</v>
      </c>
      <c r="X1285" t="s">
        <v>4193</v>
      </c>
      <c r="Z1285" t="s">
        <v>4265</v>
      </c>
      <c r="AC1285">
        <v>54</v>
      </c>
      <c r="AD1285" t="s">
        <v>6772</v>
      </c>
      <c r="AF1285">
        <v>27</v>
      </c>
      <c r="AG1285">
        <v>1</v>
      </c>
      <c r="AH1285">
        <v>0</v>
      </c>
      <c r="AI1285">
        <v>240.19</v>
      </c>
      <c r="AL1285" t="s">
        <v>6802</v>
      </c>
      <c r="AM1285">
        <v>30000</v>
      </c>
    </row>
    <row r="1286" spans="1:44">
      <c r="A1286" s="1">
        <f>HYPERLINK("https://lsnyc.legalserver.org/matter/dynamic-profile/view/1916799","19-1916799")</f>
        <v>0</v>
      </c>
      <c r="B1286" t="s">
        <v>52</v>
      </c>
      <c r="C1286" t="s">
        <v>195</v>
      </c>
      <c r="E1286" t="s">
        <v>1159</v>
      </c>
      <c r="F1286" t="s">
        <v>2031</v>
      </c>
      <c r="G1286" t="s">
        <v>2640</v>
      </c>
      <c r="H1286" t="s">
        <v>3211</v>
      </c>
      <c r="I1286" t="s">
        <v>3490</v>
      </c>
      <c r="J1286">
        <v>11220</v>
      </c>
      <c r="K1286" t="s">
        <v>3522</v>
      </c>
      <c r="L1286" t="s">
        <v>3525</v>
      </c>
      <c r="N1286" t="s">
        <v>4115</v>
      </c>
      <c r="O1286" t="s">
        <v>4134</v>
      </c>
      <c r="Q1286" t="s">
        <v>4147</v>
      </c>
      <c r="R1286" t="s">
        <v>3522</v>
      </c>
      <c r="T1286" t="s">
        <v>4156</v>
      </c>
      <c r="V1286" t="s">
        <v>208</v>
      </c>
      <c r="W1286">
        <v>879.46</v>
      </c>
      <c r="X1286" t="s">
        <v>4193</v>
      </c>
      <c r="Z1286" t="s">
        <v>5295</v>
      </c>
      <c r="AB1286" t="s">
        <v>6607</v>
      </c>
      <c r="AC1286">
        <v>54</v>
      </c>
      <c r="AD1286" t="s">
        <v>6772</v>
      </c>
      <c r="AF1286">
        <v>43</v>
      </c>
      <c r="AG1286">
        <v>1</v>
      </c>
      <c r="AH1286">
        <v>0</v>
      </c>
      <c r="AI1286">
        <v>240.19</v>
      </c>
      <c r="AL1286" t="s">
        <v>6801</v>
      </c>
      <c r="AM1286">
        <v>30000</v>
      </c>
    </row>
    <row r="1287" spans="1:44">
      <c r="A1287" s="1">
        <f>HYPERLINK("https://lsnyc.legalserver.org/matter/dynamic-profile/view/1906026","19-1906026")</f>
        <v>0</v>
      </c>
      <c r="B1287" t="s">
        <v>64</v>
      </c>
      <c r="C1287" t="s">
        <v>285</v>
      </c>
      <c r="E1287" t="s">
        <v>1160</v>
      </c>
      <c r="F1287" t="s">
        <v>2032</v>
      </c>
      <c r="G1287" t="s">
        <v>3026</v>
      </c>
      <c r="H1287">
        <v>8</v>
      </c>
      <c r="I1287" t="s">
        <v>3490</v>
      </c>
      <c r="J1287">
        <v>11218</v>
      </c>
      <c r="K1287" t="s">
        <v>3522</v>
      </c>
      <c r="L1287" t="s">
        <v>3525</v>
      </c>
      <c r="N1287" t="s">
        <v>4107</v>
      </c>
      <c r="O1287" t="s">
        <v>4134</v>
      </c>
      <c r="Q1287" t="s">
        <v>4147</v>
      </c>
      <c r="R1287" t="s">
        <v>3523</v>
      </c>
      <c r="T1287" t="s">
        <v>4156</v>
      </c>
      <c r="V1287" t="s">
        <v>312</v>
      </c>
      <c r="W1287">
        <v>1615</v>
      </c>
      <c r="X1287" t="s">
        <v>4193</v>
      </c>
      <c r="Y1287" t="s">
        <v>4197</v>
      </c>
      <c r="Z1287" t="s">
        <v>5296</v>
      </c>
      <c r="AB1287" t="s">
        <v>6608</v>
      </c>
      <c r="AC1287">
        <v>42</v>
      </c>
      <c r="AD1287" t="s">
        <v>6772</v>
      </c>
      <c r="AF1287">
        <v>3</v>
      </c>
      <c r="AG1287">
        <v>1</v>
      </c>
      <c r="AH1287">
        <v>0</v>
      </c>
      <c r="AI1287">
        <v>240.19</v>
      </c>
      <c r="AJ1287" t="s">
        <v>264</v>
      </c>
      <c r="AK1287" t="s">
        <v>6799</v>
      </c>
      <c r="AL1287" t="s">
        <v>6801</v>
      </c>
      <c r="AM1287">
        <v>30000</v>
      </c>
    </row>
    <row r="1288" spans="1:44">
      <c r="A1288" s="1">
        <f>HYPERLINK("https://lsnyc.legalserver.org/matter/dynamic-profile/view/1906090","19-1906090")</f>
        <v>0</v>
      </c>
      <c r="B1288" t="s">
        <v>64</v>
      </c>
      <c r="C1288" t="s">
        <v>207</v>
      </c>
      <c r="E1288" t="s">
        <v>1160</v>
      </c>
      <c r="F1288" t="s">
        <v>2032</v>
      </c>
      <c r="G1288" t="s">
        <v>3027</v>
      </c>
      <c r="H1288">
        <v>8</v>
      </c>
      <c r="I1288" t="s">
        <v>3490</v>
      </c>
      <c r="J1288">
        <v>11218</v>
      </c>
      <c r="K1288" t="s">
        <v>3522</v>
      </c>
      <c r="L1288" t="s">
        <v>3525</v>
      </c>
      <c r="O1288" t="s">
        <v>4134</v>
      </c>
      <c r="Q1288" t="s">
        <v>4147</v>
      </c>
      <c r="R1288" t="s">
        <v>3523</v>
      </c>
      <c r="T1288" t="s">
        <v>4156</v>
      </c>
      <c r="V1288" t="s">
        <v>207</v>
      </c>
      <c r="W1288">
        <v>1615</v>
      </c>
      <c r="X1288" t="s">
        <v>4193</v>
      </c>
      <c r="Y1288" t="s">
        <v>4197</v>
      </c>
      <c r="Z1288" t="s">
        <v>5296</v>
      </c>
      <c r="AB1288" t="s">
        <v>6609</v>
      </c>
      <c r="AC1288">
        <v>42</v>
      </c>
      <c r="AD1288" t="s">
        <v>6772</v>
      </c>
      <c r="AF1288">
        <v>3</v>
      </c>
      <c r="AG1288">
        <v>1</v>
      </c>
      <c r="AH1288">
        <v>0</v>
      </c>
      <c r="AI1288">
        <v>240.19</v>
      </c>
      <c r="AJ1288" t="s">
        <v>264</v>
      </c>
      <c r="AK1288" t="s">
        <v>6799</v>
      </c>
      <c r="AL1288" t="s">
        <v>6801</v>
      </c>
      <c r="AM1288">
        <v>30000</v>
      </c>
    </row>
    <row r="1289" spans="1:44">
      <c r="A1289" s="1">
        <f>HYPERLINK("https://lsnyc.legalserver.org/matter/dynamic-profile/view/1907450","19-1907450")</f>
        <v>0</v>
      </c>
      <c r="B1289" t="s">
        <v>99</v>
      </c>
      <c r="C1289" t="s">
        <v>185</v>
      </c>
      <c r="E1289" t="s">
        <v>423</v>
      </c>
      <c r="F1289" t="s">
        <v>2033</v>
      </c>
      <c r="G1289" t="s">
        <v>3028</v>
      </c>
      <c r="H1289" t="s">
        <v>3242</v>
      </c>
      <c r="I1289" t="s">
        <v>3495</v>
      </c>
      <c r="J1289">
        <v>10034</v>
      </c>
      <c r="K1289" t="s">
        <v>3522</v>
      </c>
      <c r="L1289" t="s">
        <v>3525</v>
      </c>
      <c r="N1289" t="s">
        <v>3554</v>
      </c>
      <c r="O1289" t="s">
        <v>4135</v>
      </c>
      <c r="Q1289" t="s">
        <v>4147</v>
      </c>
      <c r="R1289" t="s">
        <v>3523</v>
      </c>
      <c r="T1289" t="s">
        <v>4156</v>
      </c>
      <c r="U1289" t="s">
        <v>4168</v>
      </c>
      <c r="V1289" t="s">
        <v>210</v>
      </c>
      <c r="W1289">
        <v>1448.89</v>
      </c>
      <c r="X1289" t="s">
        <v>4196</v>
      </c>
      <c r="Y1289" t="s">
        <v>4205</v>
      </c>
      <c r="Z1289" t="s">
        <v>5297</v>
      </c>
      <c r="AB1289" t="s">
        <v>6610</v>
      </c>
      <c r="AC1289">
        <v>32</v>
      </c>
      <c r="AD1289" t="s">
        <v>6772</v>
      </c>
      <c r="AE1289" t="s">
        <v>3526</v>
      </c>
      <c r="AF1289">
        <v>18</v>
      </c>
      <c r="AG1289">
        <v>1</v>
      </c>
      <c r="AH1289">
        <v>0</v>
      </c>
      <c r="AI1289">
        <v>240.19</v>
      </c>
      <c r="AL1289" t="s">
        <v>6801</v>
      </c>
      <c r="AM1289">
        <v>30000</v>
      </c>
    </row>
    <row r="1290" spans="1:44">
      <c r="A1290" s="1">
        <f>HYPERLINK("https://lsnyc.legalserver.org/matter/dynamic-profile/view/1904638","19-1904638")</f>
        <v>0</v>
      </c>
      <c r="B1290" t="s">
        <v>154</v>
      </c>
      <c r="C1290" t="s">
        <v>246</v>
      </c>
      <c r="D1290" t="s">
        <v>275</v>
      </c>
      <c r="E1290" t="s">
        <v>1161</v>
      </c>
      <c r="F1290" t="s">
        <v>1270</v>
      </c>
      <c r="G1290" t="s">
        <v>3029</v>
      </c>
      <c r="H1290" t="s">
        <v>3220</v>
      </c>
      <c r="I1290" t="s">
        <v>3495</v>
      </c>
      <c r="J1290">
        <v>10010</v>
      </c>
      <c r="K1290" t="s">
        <v>3522</v>
      </c>
      <c r="L1290" t="s">
        <v>3525</v>
      </c>
      <c r="M1290" t="s">
        <v>4060</v>
      </c>
      <c r="N1290" t="s">
        <v>4109</v>
      </c>
      <c r="O1290" t="s">
        <v>4132</v>
      </c>
      <c r="P1290" t="s">
        <v>4139</v>
      </c>
      <c r="Q1290" t="s">
        <v>4147</v>
      </c>
      <c r="R1290" t="s">
        <v>3523</v>
      </c>
      <c r="T1290" t="s">
        <v>4156</v>
      </c>
      <c r="U1290" t="s">
        <v>4168</v>
      </c>
      <c r="V1290" t="s">
        <v>246</v>
      </c>
      <c r="W1290">
        <v>1567.75</v>
      </c>
      <c r="X1290" t="s">
        <v>4196</v>
      </c>
      <c r="Y1290" t="s">
        <v>4206</v>
      </c>
      <c r="Z1290" t="s">
        <v>5298</v>
      </c>
      <c r="AB1290" t="s">
        <v>6611</v>
      </c>
      <c r="AC1290">
        <v>16</v>
      </c>
      <c r="AD1290" t="s">
        <v>6772</v>
      </c>
      <c r="AE1290" t="s">
        <v>3526</v>
      </c>
      <c r="AF1290">
        <v>26</v>
      </c>
      <c r="AG1290">
        <v>1</v>
      </c>
      <c r="AH1290">
        <v>0</v>
      </c>
      <c r="AI1290">
        <v>240.19</v>
      </c>
      <c r="AL1290" t="s">
        <v>6801</v>
      </c>
      <c r="AM1290">
        <v>30000</v>
      </c>
    </row>
    <row r="1291" spans="1:44">
      <c r="A1291" s="1">
        <f>HYPERLINK("https://lsnyc.legalserver.org/matter/dynamic-profile/view/1916133","19-1916133")</f>
        <v>0</v>
      </c>
      <c r="B1291" t="s">
        <v>67</v>
      </c>
      <c r="C1291" t="s">
        <v>240</v>
      </c>
      <c r="E1291" t="s">
        <v>530</v>
      </c>
      <c r="F1291" t="s">
        <v>2034</v>
      </c>
      <c r="G1291" t="s">
        <v>2212</v>
      </c>
      <c r="H1291">
        <v>22</v>
      </c>
      <c r="I1291" t="s">
        <v>3490</v>
      </c>
      <c r="J1291">
        <v>11213</v>
      </c>
      <c r="K1291" t="s">
        <v>3522</v>
      </c>
      <c r="L1291" t="s">
        <v>3525</v>
      </c>
      <c r="M1291" t="s">
        <v>3570</v>
      </c>
      <c r="N1291" t="s">
        <v>4115</v>
      </c>
      <c r="O1291" t="s">
        <v>4134</v>
      </c>
      <c r="Q1291" t="s">
        <v>4147</v>
      </c>
      <c r="R1291" t="s">
        <v>3522</v>
      </c>
      <c r="T1291" t="s">
        <v>4156</v>
      </c>
      <c r="U1291" t="s">
        <v>4168</v>
      </c>
      <c r="V1291" t="s">
        <v>4188</v>
      </c>
      <c r="W1291">
        <v>1137.18</v>
      </c>
      <c r="X1291" t="s">
        <v>4193</v>
      </c>
      <c r="Y1291" t="s">
        <v>4198</v>
      </c>
      <c r="Z1291" t="s">
        <v>5299</v>
      </c>
      <c r="AA1291" t="s">
        <v>3562</v>
      </c>
      <c r="AB1291" t="s">
        <v>6612</v>
      </c>
      <c r="AC1291">
        <v>31</v>
      </c>
      <c r="AD1291" t="s">
        <v>6772</v>
      </c>
      <c r="AE1291" t="s">
        <v>3526</v>
      </c>
      <c r="AF1291">
        <v>8</v>
      </c>
      <c r="AG1291">
        <v>2</v>
      </c>
      <c r="AH1291">
        <v>0</v>
      </c>
      <c r="AI1291">
        <v>241.28</v>
      </c>
      <c r="AL1291" t="s">
        <v>6801</v>
      </c>
      <c r="AM1291">
        <v>40800</v>
      </c>
      <c r="AN1291" t="s">
        <v>6883</v>
      </c>
    </row>
    <row r="1292" spans="1:44">
      <c r="A1292" s="1">
        <f>HYPERLINK("https://lsnyc.legalserver.org/matter/dynamic-profile/view/1916139","19-1916139")</f>
        <v>0</v>
      </c>
      <c r="B1292" t="s">
        <v>67</v>
      </c>
      <c r="C1292" t="s">
        <v>240</v>
      </c>
      <c r="E1292" t="s">
        <v>530</v>
      </c>
      <c r="F1292" t="s">
        <v>2034</v>
      </c>
      <c r="G1292" t="s">
        <v>2212</v>
      </c>
      <c r="H1292">
        <v>22</v>
      </c>
      <c r="I1292" t="s">
        <v>3490</v>
      </c>
      <c r="J1292">
        <v>11213</v>
      </c>
      <c r="K1292" t="s">
        <v>3522</v>
      </c>
      <c r="L1292" t="s">
        <v>3525</v>
      </c>
      <c r="M1292" t="s">
        <v>3526</v>
      </c>
      <c r="N1292" t="s">
        <v>4110</v>
      </c>
      <c r="O1292" t="s">
        <v>4137</v>
      </c>
      <c r="Q1292" t="s">
        <v>4147</v>
      </c>
      <c r="R1292" t="s">
        <v>3522</v>
      </c>
      <c r="T1292" t="s">
        <v>4156</v>
      </c>
      <c r="U1292" t="s">
        <v>4168</v>
      </c>
      <c r="V1292" t="s">
        <v>4188</v>
      </c>
      <c r="W1292">
        <v>1137.18</v>
      </c>
      <c r="X1292" t="s">
        <v>4193</v>
      </c>
      <c r="Y1292" t="s">
        <v>4198</v>
      </c>
      <c r="Z1292" t="s">
        <v>5299</v>
      </c>
      <c r="AA1292" t="s">
        <v>3562</v>
      </c>
      <c r="AB1292" t="s">
        <v>6612</v>
      </c>
      <c r="AC1292">
        <v>31</v>
      </c>
      <c r="AD1292" t="s">
        <v>6772</v>
      </c>
      <c r="AE1292" t="s">
        <v>3526</v>
      </c>
      <c r="AF1292">
        <v>8</v>
      </c>
      <c r="AG1292">
        <v>2</v>
      </c>
      <c r="AH1292">
        <v>0</v>
      </c>
      <c r="AI1292">
        <v>241.28</v>
      </c>
      <c r="AL1292" t="s">
        <v>6801</v>
      </c>
      <c r="AM1292">
        <v>40800</v>
      </c>
      <c r="AN1292" t="s">
        <v>6883</v>
      </c>
    </row>
    <row r="1293" spans="1:44">
      <c r="A1293" s="1">
        <f>HYPERLINK("https://lsnyc.legalserver.org/matter/dynamic-profile/view/1916142","19-1916142")</f>
        <v>0</v>
      </c>
      <c r="B1293" t="s">
        <v>67</v>
      </c>
      <c r="C1293" t="s">
        <v>240</v>
      </c>
      <c r="E1293" t="s">
        <v>530</v>
      </c>
      <c r="F1293" t="s">
        <v>2034</v>
      </c>
      <c r="G1293" t="s">
        <v>2212</v>
      </c>
      <c r="H1293">
        <v>22</v>
      </c>
      <c r="I1293" t="s">
        <v>3490</v>
      </c>
      <c r="J1293">
        <v>11213</v>
      </c>
      <c r="K1293" t="s">
        <v>3522</v>
      </c>
      <c r="L1293" t="s">
        <v>3525</v>
      </c>
      <c r="M1293" t="s">
        <v>3570</v>
      </c>
      <c r="N1293" t="s">
        <v>4110</v>
      </c>
      <c r="O1293" t="s">
        <v>4137</v>
      </c>
      <c r="Q1293" t="s">
        <v>4147</v>
      </c>
      <c r="R1293" t="s">
        <v>3522</v>
      </c>
      <c r="T1293" t="s">
        <v>4156</v>
      </c>
      <c r="U1293" t="s">
        <v>4168</v>
      </c>
      <c r="V1293" t="s">
        <v>4188</v>
      </c>
      <c r="W1293">
        <v>1137.18</v>
      </c>
      <c r="X1293" t="s">
        <v>4193</v>
      </c>
      <c r="Y1293" t="s">
        <v>4198</v>
      </c>
      <c r="Z1293" t="s">
        <v>5299</v>
      </c>
      <c r="AA1293" t="s">
        <v>3562</v>
      </c>
      <c r="AB1293" t="s">
        <v>6612</v>
      </c>
      <c r="AC1293">
        <v>31</v>
      </c>
      <c r="AD1293" t="s">
        <v>6772</v>
      </c>
      <c r="AE1293" t="s">
        <v>3526</v>
      </c>
      <c r="AF1293">
        <v>8</v>
      </c>
      <c r="AG1293">
        <v>2</v>
      </c>
      <c r="AH1293">
        <v>0</v>
      </c>
      <c r="AI1293">
        <v>241.28</v>
      </c>
      <c r="AL1293" t="s">
        <v>6801</v>
      </c>
      <c r="AM1293">
        <v>40800</v>
      </c>
      <c r="AN1293" t="s">
        <v>6883</v>
      </c>
    </row>
    <row r="1294" spans="1:44">
      <c r="A1294" s="1">
        <f>HYPERLINK("https://lsnyc.legalserver.org/matter/dynamic-profile/view/1916136","19-1916136")</f>
        <v>0</v>
      </c>
      <c r="B1294" t="s">
        <v>67</v>
      </c>
      <c r="C1294" t="s">
        <v>240</v>
      </c>
      <c r="E1294" t="s">
        <v>530</v>
      </c>
      <c r="F1294" t="s">
        <v>2034</v>
      </c>
      <c r="G1294" t="s">
        <v>2212</v>
      </c>
      <c r="H1294">
        <v>22</v>
      </c>
      <c r="I1294" t="s">
        <v>3490</v>
      </c>
      <c r="J1294">
        <v>11213</v>
      </c>
      <c r="K1294" t="s">
        <v>3522</v>
      </c>
      <c r="L1294" t="s">
        <v>3525</v>
      </c>
      <c r="M1294" t="s">
        <v>3562</v>
      </c>
      <c r="N1294" t="s">
        <v>3554</v>
      </c>
      <c r="O1294" t="s">
        <v>4135</v>
      </c>
      <c r="Q1294" t="s">
        <v>4147</v>
      </c>
      <c r="R1294" t="s">
        <v>3522</v>
      </c>
      <c r="T1294" t="s">
        <v>4156</v>
      </c>
      <c r="U1294" t="s">
        <v>4168</v>
      </c>
      <c r="V1294" t="s">
        <v>4188</v>
      </c>
      <c r="W1294">
        <v>1137.18</v>
      </c>
      <c r="X1294" t="s">
        <v>4193</v>
      </c>
      <c r="Y1294" t="s">
        <v>4198</v>
      </c>
      <c r="Z1294" t="s">
        <v>5299</v>
      </c>
      <c r="AA1294" t="s">
        <v>3562</v>
      </c>
      <c r="AB1294" t="s">
        <v>6612</v>
      </c>
      <c r="AC1294">
        <v>31</v>
      </c>
      <c r="AD1294" t="s">
        <v>6772</v>
      </c>
      <c r="AE1294" t="s">
        <v>3526</v>
      </c>
      <c r="AF1294">
        <v>8</v>
      </c>
      <c r="AG1294">
        <v>2</v>
      </c>
      <c r="AH1294">
        <v>0</v>
      </c>
      <c r="AI1294">
        <v>241.28</v>
      </c>
      <c r="AL1294" t="s">
        <v>6801</v>
      </c>
      <c r="AM1294">
        <v>40800</v>
      </c>
      <c r="AN1294" t="s">
        <v>6883</v>
      </c>
    </row>
    <row r="1295" spans="1:44">
      <c r="A1295" s="1">
        <f>HYPERLINK("https://lsnyc.legalserver.org/matter/dynamic-profile/view/1903648","19-1903648")</f>
        <v>0</v>
      </c>
      <c r="B1295" t="s">
        <v>120</v>
      </c>
      <c r="C1295" t="s">
        <v>286</v>
      </c>
      <c r="D1295" t="s">
        <v>182</v>
      </c>
      <c r="E1295" t="s">
        <v>400</v>
      </c>
      <c r="F1295" t="s">
        <v>2035</v>
      </c>
      <c r="G1295" t="s">
        <v>2991</v>
      </c>
      <c r="H1295" t="s">
        <v>3442</v>
      </c>
      <c r="I1295" t="s">
        <v>3494</v>
      </c>
      <c r="J1295">
        <v>10314</v>
      </c>
      <c r="K1295" t="s">
        <v>3522</v>
      </c>
      <c r="L1295" t="s">
        <v>3525</v>
      </c>
      <c r="M1295" t="s">
        <v>3661</v>
      </c>
      <c r="N1295" t="s">
        <v>4110</v>
      </c>
      <c r="O1295" t="s">
        <v>4137</v>
      </c>
      <c r="P1295" t="s">
        <v>4145</v>
      </c>
      <c r="Q1295" t="s">
        <v>4147</v>
      </c>
      <c r="R1295" t="s">
        <v>3522</v>
      </c>
      <c r="T1295" t="s">
        <v>4156</v>
      </c>
      <c r="U1295" t="s">
        <v>4168</v>
      </c>
      <c r="V1295" t="s">
        <v>336</v>
      </c>
      <c r="W1295">
        <v>907</v>
      </c>
      <c r="X1295" t="s">
        <v>4195</v>
      </c>
      <c r="Y1295" t="s">
        <v>4201</v>
      </c>
      <c r="Z1295" t="s">
        <v>5300</v>
      </c>
      <c r="AB1295" t="s">
        <v>6613</v>
      </c>
      <c r="AC1295">
        <v>96</v>
      </c>
      <c r="AD1295" t="s">
        <v>6772</v>
      </c>
      <c r="AE1295" t="s">
        <v>3526</v>
      </c>
      <c r="AF1295">
        <v>4</v>
      </c>
      <c r="AG1295">
        <v>1</v>
      </c>
      <c r="AH1295">
        <v>0</v>
      </c>
      <c r="AI1295">
        <v>242.21</v>
      </c>
      <c r="AL1295" t="s">
        <v>6801</v>
      </c>
      <c r="AM1295">
        <v>30252</v>
      </c>
      <c r="AO1295" t="s">
        <v>6920</v>
      </c>
      <c r="AP1295" t="s">
        <v>6929</v>
      </c>
      <c r="AQ1295" t="s">
        <v>6945</v>
      </c>
      <c r="AR1295" t="s">
        <v>6967</v>
      </c>
    </row>
    <row r="1296" spans="1:44">
      <c r="A1296" s="1">
        <f>HYPERLINK("https://lsnyc.legalserver.org/matter/dynamic-profile/view/1910115","19-1910115")</f>
        <v>0</v>
      </c>
      <c r="B1296" t="s">
        <v>86</v>
      </c>
      <c r="C1296" t="s">
        <v>230</v>
      </c>
      <c r="D1296" t="s">
        <v>230</v>
      </c>
      <c r="E1296" t="s">
        <v>1162</v>
      </c>
      <c r="F1296" t="s">
        <v>2036</v>
      </c>
      <c r="G1296" t="s">
        <v>2378</v>
      </c>
      <c r="I1296" t="s">
        <v>3495</v>
      </c>
      <c r="J1296">
        <v>10033</v>
      </c>
      <c r="K1296" t="s">
        <v>3522</v>
      </c>
      <c r="L1296" t="s">
        <v>3525</v>
      </c>
      <c r="N1296" t="s">
        <v>3554</v>
      </c>
      <c r="O1296" t="s">
        <v>4135</v>
      </c>
      <c r="P1296" t="s">
        <v>4142</v>
      </c>
      <c r="Q1296" t="s">
        <v>4147</v>
      </c>
      <c r="R1296" t="s">
        <v>3523</v>
      </c>
      <c r="T1296" t="s">
        <v>4156</v>
      </c>
      <c r="V1296" t="s">
        <v>230</v>
      </c>
      <c r="W1296">
        <v>1135</v>
      </c>
      <c r="X1296" t="s">
        <v>4196</v>
      </c>
      <c r="Y1296" t="s">
        <v>4205</v>
      </c>
      <c r="Z1296" t="s">
        <v>5301</v>
      </c>
      <c r="AB1296" t="s">
        <v>6614</v>
      </c>
      <c r="AC1296">
        <v>24</v>
      </c>
      <c r="AD1296" t="s">
        <v>6772</v>
      </c>
      <c r="AE1296" t="s">
        <v>3526</v>
      </c>
      <c r="AF1296">
        <v>39</v>
      </c>
      <c r="AG1296">
        <v>2</v>
      </c>
      <c r="AH1296">
        <v>1</v>
      </c>
      <c r="AI1296">
        <v>243.79</v>
      </c>
      <c r="AL1296" t="s">
        <v>6802</v>
      </c>
      <c r="AM1296">
        <v>52000</v>
      </c>
    </row>
    <row r="1297" spans="1:44">
      <c r="A1297" s="1">
        <f>HYPERLINK("https://lsnyc.legalserver.org/matter/dynamic-profile/view/1913899","19-1913899")</f>
        <v>0</v>
      </c>
      <c r="B1297" t="s">
        <v>108</v>
      </c>
      <c r="C1297" t="s">
        <v>199</v>
      </c>
      <c r="E1297" t="s">
        <v>1163</v>
      </c>
      <c r="F1297" t="s">
        <v>1404</v>
      </c>
      <c r="G1297" t="s">
        <v>3030</v>
      </c>
      <c r="H1297" t="s">
        <v>3443</v>
      </c>
      <c r="I1297" t="s">
        <v>3491</v>
      </c>
      <c r="J1297">
        <v>11102</v>
      </c>
      <c r="K1297" t="s">
        <v>3522</v>
      </c>
      <c r="L1297" t="s">
        <v>3525</v>
      </c>
      <c r="M1297" t="s">
        <v>4061</v>
      </c>
      <c r="N1297" t="s">
        <v>4109</v>
      </c>
      <c r="O1297" t="s">
        <v>4134</v>
      </c>
      <c r="Q1297" t="s">
        <v>4147</v>
      </c>
      <c r="R1297" t="s">
        <v>3523</v>
      </c>
      <c r="T1297" t="s">
        <v>4156</v>
      </c>
      <c r="U1297" t="s">
        <v>4168</v>
      </c>
      <c r="V1297" t="s">
        <v>263</v>
      </c>
      <c r="W1297">
        <v>1600</v>
      </c>
      <c r="X1297" t="s">
        <v>4192</v>
      </c>
      <c r="Y1297" t="s">
        <v>4204</v>
      </c>
      <c r="Z1297" t="s">
        <v>4492</v>
      </c>
      <c r="AA1297" t="s">
        <v>5482</v>
      </c>
      <c r="AB1297" t="s">
        <v>6615</v>
      </c>
      <c r="AC1297">
        <v>4</v>
      </c>
      <c r="AD1297" t="s">
        <v>6771</v>
      </c>
      <c r="AE1297" t="s">
        <v>3526</v>
      </c>
      <c r="AF1297">
        <v>8</v>
      </c>
      <c r="AG1297">
        <v>2</v>
      </c>
      <c r="AH1297">
        <v>0</v>
      </c>
      <c r="AI1297">
        <v>246.01</v>
      </c>
      <c r="AJ1297" t="s">
        <v>208</v>
      </c>
      <c r="AK1297" t="s">
        <v>6799</v>
      </c>
      <c r="AL1297" t="s">
        <v>6802</v>
      </c>
      <c r="AM1297">
        <v>41600</v>
      </c>
    </row>
    <row r="1298" spans="1:44">
      <c r="A1298" s="1">
        <f>HYPERLINK("https://lsnyc.legalserver.org/matter/dynamic-profile/view/1905159","19-1905159")</f>
        <v>0</v>
      </c>
      <c r="B1298" t="s">
        <v>143</v>
      </c>
      <c r="C1298" t="s">
        <v>320</v>
      </c>
      <c r="E1298" t="s">
        <v>1164</v>
      </c>
      <c r="F1298" t="s">
        <v>2037</v>
      </c>
      <c r="G1298" t="s">
        <v>3031</v>
      </c>
      <c r="H1298" t="s">
        <v>3444</v>
      </c>
      <c r="I1298" t="s">
        <v>3494</v>
      </c>
      <c r="J1298">
        <v>10303</v>
      </c>
      <c r="K1298" t="s">
        <v>3522</v>
      </c>
      <c r="L1298" t="s">
        <v>3525</v>
      </c>
      <c r="M1298" t="s">
        <v>4062</v>
      </c>
      <c r="N1298" t="s">
        <v>4131</v>
      </c>
      <c r="O1298" t="s">
        <v>4134</v>
      </c>
      <c r="Q1298" t="s">
        <v>4148</v>
      </c>
      <c r="R1298" t="s">
        <v>3523</v>
      </c>
      <c r="T1298" t="s">
        <v>4159</v>
      </c>
      <c r="U1298" t="s">
        <v>4168</v>
      </c>
      <c r="V1298" t="s">
        <v>206</v>
      </c>
      <c r="W1298">
        <v>0</v>
      </c>
      <c r="X1298" t="s">
        <v>4195</v>
      </c>
      <c r="Y1298" t="s">
        <v>4199</v>
      </c>
      <c r="Z1298" t="s">
        <v>5302</v>
      </c>
      <c r="AB1298" t="s">
        <v>6616</v>
      </c>
      <c r="AC1298">
        <v>6</v>
      </c>
      <c r="AD1298" t="s">
        <v>6771</v>
      </c>
      <c r="AE1298" t="s">
        <v>3526</v>
      </c>
      <c r="AF1298">
        <v>3</v>
      </c>
      <c r="AG1298">
        <v>1</v>
      </c>
      <c r="AH1298">
        <v>2</v>
      </c>
      <c r="AI1298">
        <v>247.54</v>
      </c>
      <c r="AJ1298" t="s">
        <v>6795</v>
      </c>
      <c r="AK1298" t="s">
        <v>6798</v>
      </c>
      <c r="AL1298" t="s">
        <v>6801</v>
      </c>
      <c r="AM1298">
        <v>52800</v>
      </c>
    </row>
    <row r="1299" spans="1:44">
      <c r="A1299" s="1">
        <f>HYPERLINK("https://lsnyc.legalserver.org/matter/dynamic-profile/view/1907064","19-1907064")</f>
        <v>0</v>
      </c>
      <c r="B1299" t="s">
        <v>83</v>
      </c>
      <c r="C1299" t="s">
        <v>244</v>
      </c>
      <c r="D1299" t="s">
        <v>279</v>
      </c>
      <c r="E1299" t="s">
        <v>783</v>
      </c>
      <c r="F1299" t="s">
        <v>2038</v>
      </c>
      <c r="G1299" t="s">
        <v>3032</v>
      </c>
      <c r="I1299" t="s">
        <v>3493</v>
      </c>
      <c r="J1299">
        <v>10472</v>
      </c>
      <c r="K1299" t="s">
        <v>3522</v>
      </c>
      <c r="L1299" t="s">
        <v>3525</v>
      </c>
      <c r="N1299" t="s">
        <v>3554</v>
      </c>
      <c r="O1299" t="s">
        <v>4132</v>
      </c>
      <c r="P1299" t="s">
        <v>4139</v>
      </c>
      <c r="Q1299" t="s">
        <v>4147</v>
      </c>
      <c r="R1299" t="s">
        <v>3523</v>
      </c>
      <c r="T1299" t="s">
        <v>4156</v>
      </c>
      <c r="V1299" t="s">
        <v>279</v>
      </c>
      <c r="W1299">
        <v>702</v>
      </c>
      <c r="X1299" t="s">
        <v>4194</v>
      </c>
      <c r="Y1299" t="s">
        <v>4206</v>
      </c>
      <c r="Z1299" t="s">
        <v>5303</v>
      </c>
      <c r="AB1299" t="s">
        <v>6617</v>
      </c>
      <c r="AC1299">
        <v>4</v>
      </c>
      <c r="AD1299" t="s">
        <v>6771</v>
      </c>
      <c r="AE1299" t="s">
        <v>6786</v>
      </c>
      <c r="AF1299">
        <v>16</v>
      </c>
      <c r="AG1299">
        <v>1</v>
      </c>
      <c r="AH1299">
        <v>0</v>
      </c>
      <c r="AI1299">
        <v>248.2</v>
      </c>
      <c r="AL1299" t="s">
        <v>6801</v>
      </c>
      <c r="AM1299">
        <v>31000</v>
      </c>
    </row>
    <row r="1300" spans="1:44">
      <c r="A1300" s="1">
        <f>HYPERLINK("https://lsnyc.legalserver.org/matter/dynamic-profile/view/1915641","19-1915641")</f>
        <v>0</v>
      </c>
      <c r="B1300" t="s">
        <v>68</v>
      </c>
      <c r="C1300" t="s">
        <v>325</v>
      </c>
      <c r="E1300" t="s">
        <v>1165</v>
      </c>
      <c r="F1300" t="s">
        <v>2039</v>
      </c>
      <c r="G1300" t="s">
        <v>2759</v>
      </c>
      <c r="H1300" t="s">
        <v>3183</v>
      </c>
      <c r="I1300" t="s">
        <v>3490</v>
      </c>
      <c r="J1300">
        <v>11212</v>
      </c>
      <c r="K1300" t="s">
        <v>3522</v>
      </c>
      <c r="L1300" t="s">
        <v>3525</v>
      </c>
      <c r="M1300" t="s">
        <v>3554</v>
      </c>
      <c r="N1300" t="s">
        <v>4110</v>
      </c>
      <c r="O1300" t="s">
        <v>4135</v>
      </c>
      <c r="Q1300" t="s">
        <v>4147</v>
      </c>
      <c r="R1300" t="s">
        <v>3523</v>
      </c>
      <c r="T1300" t="s">
        <v>4156</v>
      </c>
      <c r="V1300" t="s">
        <v>197</v>
      </c>
      <c r="W1300">
        <v>1333.51</v>
      </c>
      <c r="X1300" t="s">
        <v>4193</v>
      </c>
      <c r="Y1300" t="s">
        <v>4200</v>
      </c>
      <c r="Z1300" t="s">
        <v>5304</v>
      </c>
      <c r="AA1300" t="s">
        <v>3526</v>
      </c>
      <c r="AB1300" t="s">
        <v>6618</v>
      </c>
      <c r="AC1300">
        <v>71</v>
      </c>
      <c r="AD1300" t="s">
        <v>6772</v>
      </c>
      <c r="AE1300" t="s">
        <v>3526</v>
      </c>
      <c r="AF1300">
        <v>13</v>
      </c>
      <c r="AG1300">
        <v>2</v>
      </c>
      <c r="AH1300">
        <v>0</v>
      </c>
      <c r="AI1300">
        <v>248.37</v>
      </c>
      <c r="AL1300" t="s">
        <v>6801</v>
      </c>
      <c r="AM1300">
        <v>42000</v>
      </c>
    </row>
    <row r="1301" spans="1:44">
      <c r="A1301" s="1">
        <f>HYPERLINK("https://lsnyc.legalserver.org/matter/dynamic-profile/view/1912981","19-1912981")</f>
        <v>0</v>
      </c>
      <c r="B1301" t="s">
        <v>63</v>
      </c>
      <c r="C1301" t="s">
        <v>196</v>
      </c>
      <c r="E1301" t="s">
        <v>679</v>
      </c>
      <c r="F1301" t="s">
        <v>1428</v>
      </c>
      <c r="G1301" t="s">
        <v>3033</v>
      </c>
      <c r="H1301" t="s">
        <v>3445</v>
      </c>
      <c r="I1301" t="s">
        <v>3490</v>
      </c>
      <c r="J1301">
        <v>11212</v>
      </c>
      <c r="K1301" t="s">
        <v>3522</v>
      </c>
      <c r="L1301" t="s">
        <v>3525</v>
      </c>
      <c r="M1301" t="s">
        <v>4063</v>
      </c>
      <c r="N1301" t="s">
        <v>4109</v>
      </c>
      <c r="O1301" t="s">
        <v>4134</v>
      </c>
      <c r="Q1301" t="s">
        <v>4147</v>
      </c>
      <c r="R1301" t="s">
        <v>3523</v>
      </c>
      <c r="T1301" t="s">
        <v>4156</v>
      </c>
      <c r="U1301" t="s">
        <v>4168</v>
      </c>
      <c r="V1301" t="s">
        <v>178</v>
      </c>
      <c r="W1301">
        <v>1331</v>
      </c>
      <c r="X1301" t="s">
        <v>4193</v>
      </c>
      <c r="Y1301" t="s">
        <v>4212</v>
      </c>
      <c r="Z1301" t="s">
        <v>5305</v>
      </c>
      <c r="AA1301" t="s">
        <v>3562</v>
      </c>
      <c r="AB1301" t="s">
        <v>6619</v>
      </c>
      <c r="AC1301">
        <v>101</v>
      </c>
      <c r="AD1301" t="s">
        <v>6772</v>
      </c>
      <c r="AE1301" t="s">
        <v>3526</v>
      </c>
      <c r="AF1301">
        <v>21</v>
      </c>
      <c r="AG1301">
        <v>1</v>
      </c>
      <c r="AH1301">
        <v>1</v>
      </c>
      <c r="AI1301">
        <v>248.37</v>
      </c>
      <c r="AL1301" t="s">
        <v>6801</v>
      </c>
      <c r="AM1301">
        <v>42000</v>
      </c>
      <c r="AN1301" t="s">
        <v>6874</v>
      </c>
    </row>
    <row r="1302" spans="1:44">
      <c r="A1302" s="1">
        <f>HYPERLINK("https://lsnyc.legalserver.org/matter/dynamic-profile/view/1912173","19-1912173")</f>
        <v>0</v>
      </c>
      <c r="B1302" t="s">
        <v>85</v>
      </c>
      <c r="C1302" t="s">
        <v>192</v>
      </c>
      <c r="E1302" t="s">
        <v>1166</v>
      </c>
      <c r="F1302" t="s">
        <v>2040</v>
      </c>
      <c r="G1302" t="s">
        <v>3034</v>
      </c>
      <c r="I1302" t="s">
        <v>3494</v>
      </c>
      <c r="J1302">
        <v>10304</v>
      </c>
      <c r="K1302" t="s">
        <v>3522</v>
      </c>
      <c r="L1302" t="s">
        <v>3525</v>
      </c>
      <c r="M1302" t="s">
        <v>3553</v>
      </c>
      <c r="N1302" t="s">
        <v>3554</v>
      </c>
      <c r="O1302" t="s">
        <v>4132</v>
      </c>
      <c r="Q1302" t="s">
        <v>4147</v>
      </c>
      <c r="R1302" t="s">
        <v>3523</v>
      </c>
      <c r="T1302" t="s">
        <v>4156</v>
      </c>
      <c r="V1302" t="s">
        <v>192</v>
      </c>
      <c r="W1302">
        <v>1354</v>
      </c>
      <c r="X1302" t="s">
        <v>4195</v>
      </c>
      <c r="Y1302" t="s">
        <v>4202</v>
      </c>
      <c r="Z1302" t="s">
        <v>5306</v>
      </c>
      <c r="AB1302" t="s">
        <v>6620</v>
      </c>
      <c r="AC1302">
        <v>403</v>
      </c>
      <c r="AD1302" t="s">
        <v>6778</v>
      </c>
      <c r="AE1302" t="s">
        <v>3526</v>
      </c>
      <c r="AF1302">
        <v>15</v>
      </c>
      <c r="AG1302">
        <v>1</v>
      </c>
      <c r="AH1302">
        <v>1</v>
      </c>
      <c r="AI1302">
        <v>248.37</v>
      </c>
      <c r="AJ1302" t="s">
        <v>314</v>
      </c>
      <c r="AK1302" t="s">
        <v>6799</v>
      </c>
      <c r="AL1302" t="s">
        <v>6801</v>
      </c>
      <c r="AM1302">
        <v>42000</v>
      </c>
      <c r="AQ1302" t="s">
        <v>6945</v>
      </c>
      <c r="AR1302" t="s">
        <v>6949</v>
      </c>
    </row>
    <row r="1303" spans="1:44">
      <c r="A1303" s="1">
        <f>HYPERLINK("https://lsnyc.legalserver.org/matter/dynamic-profile/view/1905780","19-1905780")</f>
        <v>0</v>
      </c>
      <c r="B1303" t="s">
        <v>71</v>
      </c>
      <c r="C1303" t="s">
        <v>206</v>
      </c>
      <c r="E1303" t="s">
        <v>498</v>
      </c>
      <c r="F1303" t="s">
        <v>1266</v>
      </c>
      <c r="G1303" t="s">
        <v>2216</v>
      </c>
      <c r="H1303" t="s">
        <v>3221</v>
      </c>
      <c r="I1303" t="s">
        <v>3490</v>
      </c>
      <c r="J1303">
        <v>11212</v>
      </c>
      <c r="K1303" t="s">
        <v>3522</v>
      </c>
      <c r="L1303" t="s">
        <v>3525</v>
      </c>
      <c r="M1303" t="s">
        <v>3562</v>
      </c>
      <c r="N1303" t="s">
        <v>3554</v>
      </c>
      <c r="O1303" t="s">
        <v>4135</v>
      </c>
      <c r="Q1303" t="s">
        <v>4147</v>
      </c>
      <c r="R1303" t="s">
        <v>3522</v>
      </c>
      <c r="T1303" t="s">
        <v>4156</v>
      </c>
      <c r="U1303" t="s">
        <v>4168</v>
      </c>
      <c r="V1303" t="s">
        <v>237</v>
      </c>
      <c r="W1303">
        <v>839.77</v>
      </c>
      <c r="X1303" t="s">
        <v>4193</v>
      </c>
      <c r="Y1303" t="s">
        <v>4201</v>
      </c>
      <c r="Z1303" t="s">
        <v>4866</v>
      </c>
      <c r="AA1303" t="s">
        <v>3562</v>
      </c>
      <c r="AB1303" t="s">
        <v>6621</v>
      </c>
      <c r="AC1303">
        <v>8</v>
      </c>
      <c r="AD1303" t="s">
        <v>6772</v>
      </c>
      <c r="AE1303" t="s">
        <v>3526</v>
      </c>
      <c r="AF1303">
        <v>24</v>
      </c>
      <c r="AG1303">
        <v>1</v>
      </c>
      <c r="AH1303">
        <v>0</v>
      </c>
      <c r="AI1303">
        <v>248.47</v>
      </c>
      <c r="AL1303" t="s">
        <v>6801</v>
      </c>
      <c r="AM1303">
        <v>31033.6</v>
      </c>
      <c r="AN1303" t="s">
        <v>6884</v>
      </c>
    </row>
    <row r="1304" spans="1:44">
      <c r="A1304" s="1">
        <f>HYPERLINK("https://lsnyc.legalserver.org/matter/dynamic-profile/view/1915169","19-1915169")</f>
        <v>0</v>
      </c>
      <c r="B1304" t="s">
        <v>60</v>
      </c>
      <c r="C1304" t="s">
        <v>182</v>
      </c>
      <c r="E1304" t="s">
        <v>1167</v>
      </c>
      <c r="F1304" t="s">
        <v>2041</v>
      </c>
      <c r="G1304" t="s">
        <v>3035</v>
      </c>
      <c r="H1304" t="s">
        <v>3146</v>
      </c>
      <c r="I1304" t="s">
        <v>3490</v>
      </c>
      <c r="J1304">
        <v>11233</v>
      </c>
      <c r="K1304" t="s">
        <v>3523</v>
      </c>
      <c r="L1304" t="s">
        <v>3526</v>
      </c>
      <c r="M1304" t="s">
        <v>4064</v>
      </c>
      <c r="N1304" t="s">
        <v>4109</v>
      </c>
      <c r="O1304" t="s">
        <v>4134</v>
      </c>
      <c r="Q1304" t="s">
        <v>4147</v>
      </c>
      <c r="R1304" t="s">
        <v>3523</v>
      </c>
      <c r="T1304" t="s">
        <v>4156</v>
      </c>
      <c r="U1304" t="s">
        <v>4168</v>
      </c>
      <c r="V1304" t="s">
        <v>243</v>
      </c>
      <c r="W1304">
        <v>996</v>
      </c>
      <c r="X1304" t="s">
        <v>4193</v>
      </c>
      <c r="Y1304" t="s">
        <v>4209</v>
      </c>
      <c r="Z1304" t="s">
        <v>5307</v>
      </c>
      <c r="AA1304" t="s">
        <v>3562</v>
      </c>
      <c r="AB1304" t="s">
        <v>6622</v>
      </c>
      <c r="AC1304">
        <v>6</v>
      </c>
      <c r="AD1304" t="s">
        <v>6772</v>
      </c>
      <c r="AE1304" t="s">
        <v>3526</v>
      </c>
      <c r="AF1304">
        <v>14</v>
      </c>
      <c r="AG1304">
        <v>4</v>
      </c>
      <c r="AH1304">
        <v>1</v>
      </c>
      <c r="AI1304">
        <v>248.88</v>
      </c>
      <c r="AL1304" t="s">
        <v>6801</v>
      </c>
      <c r="AM1304">
        <v>75088</v>
      </c>
      <c r="AN1304" t="s">
        <v>6885</v>
      </c>
    </row>
    <row r="1305" spans="1:44">
      <c r="A1305" s="1">
        <f>HYPERLINK("https://lsnyc.legalserver.org/matter/dynamic-profile/view/1912132","19-1912132")</f>
        <v>0</v>
      </c>
      <c r="B1305" t="s">
        <v>84</v>
      </c>
      <c r="C1305" t="s">
        <v>192</v>
      </c>
      <c r="E1305" t="s">
        <v>1168</v>
      </c>
      <c r="F1305" t="s">
        <v>2042</v>
      </c>
      <c r="G1305" t="s">
        <v>3036</v>
      </c>
      <c r="H1305" t="s">
        <v>3220</v>
      </c>
      <c r="I1305" t="s">
        <v>3494</v>
      </c>
      <c r="J1305">
        <v>10304</v>
      </c>
      <c r="K1305" t="s">
        <v>3522</v>
      </c>
      <c r="L1305" t="s">
        <v>3525</v>
      </c>
      <c r="M1305" t="s">
        <v>4065</v>
      </c>
      <c r="N1305" t="s">
        <v>4109</v>
      </c>
      <c r="O1305" t="s">
        <v>4136</v>
      </c>
      <c r="Q1305" t="s">
        <v>4148</v>
      </c>
      <c r="R1305" t="s">
        <v>3523</v>
      </c>
      <c r="T1305" t="s">
        <v>4161</v>
      </c>
      <c r="V1305" t="s">
        <v>333</v>
      </c>
      <c r="W1305">
        <v>888.08</v>
      </c>
      <c r="X1305" t="s">
        <v>4195</v>
      </c>
      <c r="Y1305" t="s">
        <v>4199</v>
      </c>
      <c r="Z1305" t="s">
        <v>5308</v>
      </c>
      <c r="AC1305">
        <v>67</v>
      </c>
      <c r="AD1305" t="s">
        <v>6771</v>
      </c>
      <c r="AE1305" t="s">
        <v>6786</v>
      </c>
      <c r="AF1305">
        <v>2</v>
      </c>
      <c r="AG1305">
        <v>1</v>
      </c>
      <c r="AH1305">
        <v>0</v>
      </c>
      <c r="AI1305">
        <v>249.8</v>
      </c>
      <c r="AJ1305" t="s">
        <v>6795</v>
      </c>
      <c r="AK1305" t="s">
        <v>6798</v>
      </c>
      <c r="AL1305" t="s">
        <v>6801</v>
      </c>
      <c r="AM1305">
        <v>31200</v>
      </c>
    </row>
    <row r="1306" spans="1:44">
      <c r="A1306" s="1">
        <f>HYPERLINK("https://lsnyc.legalserver.org/matter/dynamic-profile/view/1904267","19-1904267")</f>
        <v>0</v>
      </c>
      <c r="B1306" t="s">
        <v>93</v>
      </c>
      <c r="C1306" t="s">
        <v>179</v>
      </c>
      <c r="D1306" t="s">
        <v>246</v>
      </c>
      <c r="E1306" t="s">
        <v>942</v>
      </c>
      <c r="F1306" t="s">
        <v>1717</v>
      </c>
      <c r="G1306" t="s">
        <v>3037</v>
      </c>
      <c r="H1306" t="s">
        <v>3149</v>
      </c>
      <c r="I1306" t="s">
        <v>3495</v>
      </c>
      <c r="J1306">
        <v>10032</v>
      </c>
      <c r="K1306" t="s">
        <v>3522</v>
      </c>
      <c r="L1306" t="s">
        <v>3525</v>
      </c>
      <c r="N1306" t="s">
        <v>4113</v>
      </c>
      <c r="O1306" t="s">
        <v>4132</v>
      </c>
      <c r="P1306" t="s">
        <v>4139</v>
      </c>
      <c r="Q1306" t="s">
        <v>4147</v>
      </c>
      <c r="R1306" t="s">
        <v>3523</v>
      </c>
      <c r="T1306" t="s">
        <v>4156</v>
      </c>
      <c r="V1306" t="s">
        <v>179</v>
      </c>
      <c r="W1306">
        <v>606</v>
      </c>
      <c r="X1306" t="s">
        <v>4196</v>
      </c>
      <c r="Y1306" t="s">
        <v>4205</v>
      </c>
      <c r="Z1306" t="s">
        <v>5309</v>
      </c>
      <c r="AB1306" t="s">
        <v>6623</v>
      </c>
      <c r="AC1306">
        <v>42</v>
      </c>
      <c r="AD1306" t="s">
        <v>6774</v>
      </c>
      <c r="AE1306" t="s">
        <v>3526</v>
      </c>
      <c r="AF1306">
        <v>53</v>
      </c>
      <c r="AG1306">
        <v>1</v>
      </c>
      <c r="AH1306">
        <v>0</v>
      </c>
      <c r="AI1306">
        <v>249.8</v>
      </c>
      <c r="AL1306" t="s">
        <v>6801</v>
      </c>
      <c r="AM1306">
        <v>31200</v>
      </c>
    </row>
    <row r="1307" spans="1:44">
      <c r="A1307" s="1">
        <f>HYPERLINK("https://lsnyc.legalserver.org/matter/dynamic-profile/view/1906893","19-1906893")</f>
        <v>0</v>
      </c>
      <c r="B1307" t="s">
        <v>60</v>
      </c>
      <c r="C1307" t="s">
        <v>217</v>
      </c>
      <c r="D1307" t="s">
        <v>239</v>
      </c>
      <c r="E1307" t="s">
        <v>688</v>
      </c>
      <c r="F1307" t="s">
        <v>2043</v>
      </c>
      <c r="G1307" t="s">
        <v>3038</v>
      </c>
      <c r="I1307" t="s">
        <v>3490</v>
      </c>
      <c r="J1307">
        <v>11233</v>
      </c>
      <c r="K1307" t="s">
        <v>3522</v>
      </c>
      <c r="L1307" t="s">
        <v>3525</v>
      </c>
      <c r="M1307" t="s">
        <v>4066</v>
      </c>
      <c r="N1307" t="s">
        <v>4109</v>
      </c>
      <c r="O1307" t="s">
        <v>4132</v>
      </c>
      <c r="P1307" t="s">
        <v>4139</v>
      </c>
      <c r="Q1307" t="s">
        <v>4147</v>
      </c>
      <c r="R1307" t="s">
        <v>3523</v>
      </c>
      <c r="T1307" t="s">
        <v>4156</v>
      </c>
      <c r="U1307" t="s">
        <v>4170</v>
      </c>
      <c r="V1307" t="s">
        <v>308</v>
      </c>
      <c r="W1307">
        <v>0</v>
      </c>
      <c r="X1307" t="s">
        <v>4193</v>
      </c>
      <c r="Y1307" t="s">
        <v>4207</v>
      </c>
      <c r="Z1307" t="s">
        <v>5310</v>
      </c>
      <c r="AC1307">
        <v>2</v>
      </c>
      <c r="AF1307">
        <v>0</v>
      </c>
      <c r="AG1307">
        <v>2</v>
      </c>
      <c r="AH1307">
        <v>2</v>
      </c>
      <c r="AI1307">
        <v>252.43</v>
      </c>
      <c r="AL1307" t="s">
        <v>6801</v>
      </c>
      <c r="AM1307">
        <v>65000</v>
      </c>
    </row>
    <row r="1308" spans="1:44">
      <c r="A1308" s="1">
        <f>HYPERLINK("https://lsnyc.legalserver.org/matter/dynamic-profile/view/1904725","19-1904725")</f>
        <v>0</v>
      </c>
      <c r="B1308" t="s">
        <v>90</v>
      </c>
      <c r="C1308" t="s">
        <v>246</v>
      </c>
      <c r="E1308" t="s">
        <v>389</v>
      </c>
      <c r="F1308" t="s">
        <v>1944</v>
      </c>
      <c r="G1308" t="s">
        <v>2876</v>
      </c>
      <c r="H1308" t="s">
        <v>3445</v>
      </c>
      <c r="I1308" t="s">
        <v>3495</v>
      </c>
      <c r="J1308">
        <v>10034</v>
      </c>
      <c r="K1308" t="s">
        <v>3522</v>
      </c>
      <c r="L1308" t="s">
        <v>3525</v>
      </c>
      <c r="N1308" t="s">
        <v>4108</v>
      </c>
      <c r="O1308" t="s">
        <v>4134</v>
      </c>
      <c r="Q1308" t="s">
        <v>4147</v>
      </c>
      <c r="R1308" t="s">
        <v>3522</v>
      </c>
      <c r="T1308" t="s">
        <v>4156</v>
      </c>
      <c r="V1308" t="s">
        <v>246</v>
      </c>
      <c r="W1308">
        <v>1650</v>
      </c>
      <c r="X1308" t="s">
        <v>4196</v>
      </c>
      <c r="Y1308" t="s">
        <v>4205</v>
      </c>
      <c r="Z1308" t="s">
        <v>5311</v>
      </c>
      <c r="AB1308" t="s">
        <v>6624</v>
      </c>
      <c r="AC1308">
        <v>43</v>
      </c>
      <c r="AD1308" t="s">
        <v>6772</v>
      </c>
      <c r="AE1308" t="s">
        <v>3526</v>
      </c>
      <c r="AF1308">
        <v>24</v>
      </c>
      <c r="AG1308">
        <v>2</v>
      </c>
      <c r="AH1308">
        <v>2</v>
      </c>
      <c r="AI1308">
        <v>252.43</v>
      </c>
      <c r="AJ1308" t="s">
        <v>333</v>
      </c>
      <c r="AK1308" t="s">
        <v>6799</v>
      </c>
      <c r="AL1308" t="s">
        <v>6801</v>
      </c>
      <c r="AM1308">
        <v>65000</v>
      </c>
    </row>
    <row r="1309" spans="1:44">
      <c r="A1309" s="1">
        <f>HYPERLINK("https://lsnyc.legalserver.org/matter/dynamic-profile/view/1907238","19-1907238")</f>
        <v>0</v>
      </c>
      <c r="B1309" t="s">
        <v>142</v>
      </c>
      <c r="C1309" t="s">
        <v>284</v>
      </c>
      <c r="E1309" t="s">
        <v>930</v>
      </c>
      <c r="F1309" t="s">
        <v>2044</v>
      </c>
      <c r="G1309" t="s">
        <v>2673</v>
      </c>
      <c r="H1309" t="s">
        <v>3446</v>
      </c>
      <c r="I1309" t="s">
        <v>3493</v>
      </c>
      <c r="J1309">
        <v>10452</v>
      </c>
      <c r="K1309" t="s">
        <v>3522</v>
      </c>
      <c r="L1309" t="s">
        <v>3525</v>
      </c>
      <c r="M1309" t="s">
        <v>4067</v>
      </c>
      <c r="N1309" t="s">
        <v>4109</v>
      </c>
      <c r="O1309" t="s">
        <v>4134</v>
      </c>
      <c r="Q1309" t="s">
        <v>4147</v>
      </c>
      <c r="R1309" t="s">
        <v>3523</v>
      </c>
      <c r="T1309" t="s">
        <v>4156</v>
      </c>
      <c r="U1309" t="s">
        <v>4168</v>
      </c>
      <c r="V1309" t="s">
        <v>245</v>
      </c>
      <c r="W1309">
        <v>931</v>
      </c>
      <c r="X1309" t="s">
        <v>4194</v>
      </c>
      <c r="Y1309" t="s">
        <v>4201</v>
      </c>
      <c r="Z1309" t="s">
        <v>5312</v>
      </c>
      <c r="AB1309" t="s">
        <v>6625</v>
      </c>
      <c r="AC1309">
        <v>122</v>
      </c>
      <c r="AD1309" t="s">
        <v>6772</v>
      </c>
      <c r="AE1309" t="s">
        <v>6786</v>
      </c>
      <c r="AF1309">
        <v>28</v>
      </c>
      <c r="AG1309">
        <v>2</v>
      </c>
      <c r="AH1309">
        <v>0</v>
      </c>
      <c r="AI1309">
        <v>254.29</v>
      </c>
      <c r="AL1309" t="s">
        <v>6801</v>
      </c>
      <c r="AM1309">
        <v>43000</v>
      </c>
      <c r="AN1309" t="s">
        <v>6868</v>
      </c>
    </row>
    <row r="1310" spans="1:44">
      <c r="A1310" s="1">
        <f>HYPERLINK("https://lsnyc.legalserver.org/matter/dynamic-profile/view/1912286","19-1912286")</f>
        <v>0</v>
      </c>
      <c r="B1310" t="s">
        <v>88</v>
      </c>
      <c r="C1310" t="s">
        <v>256</v>
      </c>
      <c r="D1310" t="s">
        <v>248</v>
      </c>
      <c r="E1310" t="s">
        <v>1169</v>
      </c>
      <c r="F1310" t="s">
        <v>2045</v>
      </c>
      <c r="G1310" t="s">
        <v>3039</v>
      </c>
      <c r="H1310" t="s">
        <v>3447</v>
      </c>
      <c r="I1310" t="s">
        <v>3495</v>
      </c>
      <c r="J1310">
        <v>10033</v>
      </c>
      <c r="K1310" t="s">
        <v>3522</v>
      </c>
      <c r="L1310" t="s">
        <v>3525</v>
      </c>
      <c r="N1310" t="s">
        <v>4116</v>
      </c>
      <c r="O1310" t="s">
        <v>4135</v>
      </c>
      <c r="P1310" t="s">
        <v>4142</v>
      </c>
      <c r="Q1310" t="s">
        <v>4147</v>
      </c>
      <c r="R1310" t="s">
        <v>3523</v>
      </c>
      <c r="T1310" t="s">
        <v>4156</v>
      </c>
      <c r="V1310" t="s">
        <v>256</v>
      </c>
      <c r="W1310">
        <v>1319.95</v>
      </c>
      <c r="X1310" t="s">
        <v>4196</v>
      </c>
      <c r="Y1310" t="s">
        <v>4201</v>
      </c>
      <c r="Z1310" t="s">
        <v>5313</v>
      </c>
      <c r="AB1310" t="s">
        <v>6626</v>
      </c>
      <c r="AC1310">
        <v>480</v>
      </c>
      <c r="AD1310" t="s">
        <v>6772</v>
      </c>
      <c r="AE1310" t="s">
        <v>6791</v>
      </c>
      <c r="AF1310">
        <v>18</v>
      </c>
      <c r="AG1310">
        <v>2</v>
      </c>
      <c r="AH1310">
        <v>0</v>
      </c>
      <c r="AI1310">
        <v>255.47</v>
      </c>
      <c r="AL1310" t="s">
        <v>6801</v>
      </c>
      <c r="AM1310">
        <v>43200</v>
      </c>
    </row>
    <row r="1311" spans="1:44">
      <c r="A1311" s="1">
        <f>HYPERLINK("https://lsnyc.legalserver.org/matter/dynamic-profile/view/1907851","19-1907851")</f>
        <v>0</v>
      </c>
      <c r="B1311" t="s">
        <v>47</v>
      </c>
      <c r="C1311" t="s">
        <v>298</v>
      </c>
      <c r="E1311" t="s">
        <v>1170</v>
      </c>
      <c r="F1311" t="s">
        <v>1621</v>
      </c>
      <c r="G1311" t="s">
        <v>2614</v>
      </c>
      <c r="H1311" t="s">
        <v>3228</v>
      </c>
      <c r="I1311" t="s">
        <v>3486</v>
      </c>
      <c r="J1311">
        <v>11377</v>
      </c>
      <c r="K1311" t="s">
        <v>3522</v>
      </c>
      <c r="L1311" t="s">
        <v>3525</v>
      </c>
      <c r="M1311" t="s">
        <v>3792</v>
      </c>
      <c r="N1311" t="s">
        <v>4110</v>
      </c>
      <c r="O1311" t="s">
        <v>4137</v>
      </c>
      <c r="Q1311" t="s">
        <v>4147</v>
      </c>
      <c r="R1311" t="s">
        <v>3522</v>
      </c>
      <c r="T1311" t="s">
        <v>4156</v>
      </c>
      <c r="U1311" t="s">
        <v>4168</v>
      </c>
      <c r="V1311" t="s">
        <v>298</v>
      </c>
      <c r="W1311">
        <v>1291</v>
      </c>
      <c r="X1311" t="s">
        <v>4192</v>
      </c>
      <c r="Y1311" t="s">
        <v>4206</v>
      </c>
      <c r="Z1311" t="s">
        <v>5314</v>
      </c>
      <c r="AA1311" t="s">
        <v>5482</v>
      </c>
      <c r="AB1311" t="s">
        <v>6627</v>
      </c>
      <c r="AC1311">
        <v>67</v>
      </c>
      <c r="AD1311" t="s">
        <v>6772</v>
      </c>
      <c r="AE1311" t="s">
        <v>3526</v>
      </c>
      <c r="AF1311">
        <v>12</v>
      </c>
      <c r="AG1311">
        <v>2</v>
      </c>
      <c r="AH1311">
        <v>1</v>
      </c>
      <c r="AI1311">
        <v>257.85</v>
      </c>
      <c r="AL1311" t="s">
        <v>6801</v>
      </c>
      <c r="AM1311">
        <v>55000</v>
      </c>
      <c r="AP1311" t="s">
        <v>4200</v>
      </c>
    </row>
    <row r="1312" spans="1:44">
      <c r="A1312" s="1">
        <f>HYPERLINK("https://lsnyc.legalserver.org/matter/dynamic-profile/view/1907856","19-1907856")</f>
        <v>0</v>
      </c>
      <c r="B1312" t="s">
        <v>47</v>
      </c>
      <c r="C1312" t="s">
        <v>298</v>
      </c>
      <c r="E1312" t="s">
        <v>1170</v>
      </c>
      <c r="F1312" t="s">
        <v>1621</v>
      </c>
      <c r="G1312" t="s">
        <v>2614</v>
      </c>
      <c r="H1312" t="s">
        <v>3228</v>
      </c>
      <c r="I1312" t="s">
        <v>3486</v>
      </c>
      <c r="J1312">
        <v>11377</v>
      </c>
      <c r="K1312" t="s">
        <v>3522</v>
      </c>
      <c r="L1312" t="s">
        <v>3525</v>
      </c>
      <c r="M1312" t="s">
        <v>3793</v>
      </c>
      <c r="N1312" t="s">
        <v>4110</v>
      </c>
      <c r="O1312" t="s">
        <v>4137</v>
      </c>
      <c r="Q1312" t="s">
        <v>4147</v>
      </c>
      <c r="R1312" t="s">
        <v>3522</v>
      </c>
      <c r="T1312" t="s">
        <v>4156</v>
      </c>
      <c r="V1312" t="s">
        <v>4183</v>
      </c>
      <c r="W1312">
        <v>1291</v>
      </c>
      <c r="X1312" t="s">
        <v>4192</v>
      </c>
      <c r="Y1312" t="s">
        <v>4206</v>
      </c>
      <c r="Z1312" t="s">
        <v>5314</v>
      </c>
      <c r="AB1312" t="s">
        <v>6627</v>
      </c>
      <c r="AC1312">
        <v>67</v>
      </c>
      <c r="AD1312" t="s">
        <v>6772</v>
      </c>
      <c r="AE1312" t="s">
        <v>3526</v>
      </c>
      <c r="AF1312">
        <v>66</v>
      </c>
      <c r="AG1312">
        <v>2</v>
      </c>
      <c r="AH1312">
        <v>1</v>
      </c>
      <c r="AI1312">
        <v>257.85</v>
      </c>
      <c r="AL1312" t="s">
        <v>6801</v>
      </c>
      <c r="AM1312">
        <v>55000</v>
      </c>
    </row>
    <row r="1313" spans="1:44">
      <c r="A1313" s="1">
        <f>HYPERLINK("https://lsnyc.legalserver.org/matter/dynamic-profile/view/1914310","19-1914310")</f>
        <v>0</v>
      </c>
      <c r="B1313" t="s">
        <v>55</v>
      </c>
      <c r="C1313" t="s">
        <v>245</v>
      </c>
      <c r="E1313" t="s">
        <v>1171</v>
      </c>
      <c r="F1313" t="s">
        <v>1759</v>
      </c>
      <c r="G1313" t="s">
        <v>3040</v>
      </c>
      <c r="H1313" t="s">
        <v>3134</v>
      </c>
      <c r="I1313" t="s">
        <v>3490</v>
      </c>
      <c r="J1313">
        <v>11208</v>
      </c>
      <c r="K1313" t="s">
        <v>3522</v>
      </c>
      <c r="L1313" t="s">
        <v>3525</v>
      </c>
      <c r="M1313" t="s">
        <v>4068</v>
      </c>
      <c r="N1313" t="s">
        <v>4107</v>
      </c>
      <c r="O1313" t="s">
        <v>4136</v>
      </c>
      <c r="Q1313" t="s">
        <v>4147</v>
      </c>
      <c r="R1313" t="s">
        <v>3523</v>
      </c>
      <c r="T1313" t="s">
        <v>4156</v>
      </c>
      <c r="U1313" t="s">
        <v>4168</v>
      </c>
      <c r="V1313" t="s">
        <v>199</v>
      </c>
      <c r="W1313">
        <v>1641</v>
      </c>
      <c r="X1313" t="s">
        <v>4193</v>
      </c>
      <c r="Y1313" t="s">
        <v>4197</v>
      </c>
      <c r="Z1313" t="s">
        <v>5315</v>
      </c>
      <c r="AB1313" t="s">
        <v>6628</v>
      </c>
      <c r="AC1313">
        <v>1275</v>
      </c>
      <c r="AD1313" t="s">
        <v>6772</v>
      </c>
      <c r="AE1313" t="s">
        <v>6786</v>
      </c>
      <c r="AF1313">
        <v>17</v>
      </c>
      <c r="AG1313">
        <v>2</v>
      </c>
      <c r="AH1313">
        <v>1</v>
      </c>
      <c r="AI1313">
        <v>257.85</v>
      </c>
      <c r="AL1313" t="s">
        <v>6801</v>
      </c>
      <c r="AM1313">
        <v>55000</v>
      </c>
    </row>
    <row r="1314" spans="1:44">
      <c r="A1314" s="1">
        <f>HYPERLINK("https://lsnyc.legalserver.org/matter/dynamic-profile/view/1914711","19-1914711")</f>
        <v>0</v>
      </c>
      <c r="B1314" t="s">
        <v>143</v>
      </c>
      <c r="C1314" t="s">
        <v>267</v>
      </c>
      <c r="E1314" t="s">
        <v>1172</v>
      </c>
      <c r="F1314" t="s">
        <v>2046</v>
      </c>
      <c r="G1314" t="s">
        <v>3041</v>
      </c>
      <c r="H1314" t="s">
        <v>3181</v>
      </c>
      <c r="I1314" t="s">
        <v>3494</v>
      </c>
      <c r="J1314">
        <v>10301</v>
      </c>
      <c r="K1314" t="s">
        <v>3522</v>
      </c>
      <c r="L1314" t="s">
        <v>3525</v>
      </c>
      <c r="M1314" t="s">
        <v>4069</v>
      </c>
      <c r="N1314" t="s">
        <v>4107</v>
      </c>
      <c r="O1314" t="s">
        <v>4134</v>
      </c>
      <c r="Q1314" t="s">
        <v>4147</v>
      </c>
      <c r="R1314" t="s">
        <v>3523</v>
      </c>
      <c r="T1314" t="s">
        <v>4156</v>
      </c>
      <c r="U1314" t="s">
        <v>4168</v>
      </c>
      <c r="V1314" t="s">
        <v>267</v>
      </c>
      <c r="W1314">
        <v>0</v>
      </c>
      <c r="X1314" t="s">
        <v>4195</v>
      </c>
      <c r="Z1314" t="s">
        <v>5316</v>
      </c>
      <c r="AB1314" t="s">
        <v>6629</v>
      </c>
      <c r="AC1314">
        <v>2</v>
      </c>
      <c r="AD1314" t="s">
        <v>6771</v>
      </c>
      <c r="AE1314" t="s">
        <v>3526</v>
      </c>
      <c r="AF1314">
        <v>0</v>
      </c>
      <c r="AG1314">
        <v>1</v>
      </c>
      <c r="AH1314">
        <v>2</v>
      </c>
      <c r="AI1314">
        <v>257.85</v>
      </c>
      <c r="AK1314" t="s">
        <v>6799</v>
      </c>
      <c r="AL1314" t="s">
        <v>6801</v>
      </c>
      <c r="AM1314">
        <v>55000</v>
      </c>
      <c r="AP1314" t="s">
        <v>6924</v>
      </c>
      <c r="AQ1314" t="s">
        <v>6945</v>
      </c>
      <c r="AR1314" t="s">
        <v>7017</v>
      </c>
    </row>
    <row r="1315" spans="1:44">
      <c r="A1315" s="1">
        <f>HYPERLINK("https://lsnyc.legalserver.org/matter/dynamic-profile/view/1916749","19-1916749")</f>
        <v>0</v>
      </c>
      <c r="B1315" t="s">
        <v>91</v>
      </c>
      <c r="C1315" t="s">
        <v>195</v>
      </c>
      <c r="E1315" t="s">
        <v>1173</v>
      </c>
      <c r="F1315" t="s">
        <v>2047</v>
      </c>
      <c r="G1315" t="s">
        <v>3042</v>
      </c>
      <c r="H1315">
        <v>409</v>
      </c>
      <c r="I1315" t="s">
        <v>3495</v>
      </c>
      <c r="J1315">
        <v>10029</v>
      </c>
      <c r="K1315" t="s">
        <v>3522</v>
      </c>
      <c r="L1315" t="s">
        <v>3525</v>
      </c>
      <c r="N1315" t="s">
        <v>4108</v>
      </c>
      <c r="O1315" t="s">
        <v>4135</v>
      </c>
      <c r="Q1315" t="s">
        <v>4147</v>
      </c>
      <c r="R1315" t="s">
        <v>3522</v>
      </c>
      <c r="T1315" t="s">
        <v>4156</v>
      </c>
      <c r="U1315" t="s">
        <v>4168</v>
      </c>
      <c r="V1315" t="s">
        <v>195</v>
      </c>
      <c r="W1315">
        <v>1075</v>
      </c>
      <c r="X1315" t="s">
        <v>4196</v>
      </c>
      <c r="Y1315" t="s">
        <v>4198</v>
      </c>
      <c r="Z1315" t="s">
        <v>5317</v>
      </c>
      <c r="AB1315" t="s">
        <v>6630</v>
      </c>
      <c r="AC1315">
        <v>135</v>
      </c>
      <c r="AD1315" t="s">
        <v>6772</v>
      </c>
      <c r="AE1315" t="s">
        <v>6786</v>
      </c>
      <c r="AF1315">
        <v>10</v>
      </c>
      <c r="AG1315">
        <v>2</v>
      </c>
      <c r="AH1315">
        <v>0</v>
      </c>
      <c r="AI1315">
        <v>257.91</v>
      </c>
      <c r="AL1315" t="s">
        <v>6807</v>
      </c>
      <c r="AM1315">
        <v>43613</v>
      </c>
    </row>
    <row r="1316" spans="1:44">
      <c r="A1316" s="1">
        <f>HYPERLINK("https://lsnyc.legalserver.org/matter/dynamic-profile/view/1899657","19-1899657")</f>
        <v>0</v>
      </c>
      <c r="B1316" t="s">
        <v>55</v>
      </c>
      <c r="C1316" t="s">
        <v>367</v>
      </c>
      <c r="D1316" t="s">
        <v>237</v>
      </c>
      <c r="E1316" t="s">
        <v>915</v>
      </c>
      <c r="F1316" t="s">
        <v>1336</v>
      </c>
      <c r="G1316" t="s">
        <v>3043</v>
      </c>
      <c r="H1316" t="s">
        <v>3203</v>
      </c>
      <c r="I1316" t="s">
        <v>3490</v>
      </c>
      <c r="J1316">
        <v>11212</v>
      </c>
      <c r="K1316" t="s">
        <v>3522</v>
      </c>
      <c r="L1316" t="s">
        <v>3525</v>
      </c>
      <c r="M1316" t="s">
        <v>4070</v>
      </c>
      <c r="N1316" t="s">
        <v>4109</v>
      </c>
      <c r="O1316" t="s">
        <v>4134</v>
      </c>
      <c r="P1316" t="s">
        <v>4140</v>
      </c>
      <c r="Q1316" t="s">
        <v>4147</v>
      </c>
      <c r="R1316" t="s">
        <v>3523</v>
      </c>
      <c r="T1316" t="s">
        <v>4156</v>
      </c>
      <c r="U1316" t="s">
        <v>4168</v>
      </c>
      <c r="V1316" t="s">
        <v>246</v>
      </c>
      <c r="W1316">
        <v>1025</v>
      </c>
      <c r="X1316" t="s">
        <v>4193</v>
      </c>
      <c r="Y1316" t="s">
        <v>4200</v>
      </c>
      <c r="Z1316" t="s">
        <v>5318</v>
      </c>
      <c r="AB1316" t="s">
        <v>6631</v>
      </c>
      <c r="AC1316">
        <v>82</v>
      </c>
      <c r="AD1316" t="s">
        <v>6772</v>
      </c>
      <c r="AE1316" t="s">
        <v>6786</v>
      </c>
      <c r="AF1316">
        <v>12</v>
      </c>
      <c r="AG1316">
        <v>2</v>
      </c>
      <c r="AH1316">
        <v>0</v>
      </c>
      <c r="AI1316">
        <v>260.2</v>
      </c>
      <c r="AL1316" t="s">
        <v>6801</v>
      </c>
      <c r="AM1316">
        <v>44000</v>
      </c>
      <c r="AN1316" t="s">
        <v>6886</v>
      </c>
      <c r="AO1316" t="s">
        <v>6915</v>
      </c>
      <c r="AP1316" t="s">
        <v>6924</v>
      </c>
      <c r="AQ1316" t="s">
        <v>6945</v>
      </c>
      <c r="AR1316" t="s">
        <v>7014</v>
      </c>
    </row>
    <row r="1317" spans="1:44">
      <c r="A1317" s="1">
        <f>HYPERLINK("https://lsnyc.legalserver.org/matter/dynamic-profile/view/1907792","19-1907792")</f>
        <v>0</v>
      </c>
      <c r="B1317" t="s">
        <v>97</v>
      </c>
      <c r="C1317" t="s">
        <v>222</v>
      </c>
      <c r="E1317" t="s">
        <v>555</v>
      </c>
      <c r="F1317" t="s">
        <v>1598</v>
      </c>
      <c r="G1317" t="s">
        <v>2264</v>
      </c>
      <c r="H1317" t="s">
        <v>3320</v>
      </c>
      <c r="I1317" t="s">
        <v>3490</v>
      </c>
      <c r="J1317">
        <v>11212</v>
      </c>
      <c r="K1317" t="s">
        <v>3522</v>
      </c>
      <c r="L1317" t="s">
        <v>3525</v>
      </c>
      <c r="M1317" t="s">
        <v>3526</v>
      </c>
      <c r="N1317" t="s">
        <v>4112</v>
      </c>
      <c r="O1317" t="s">
        <v>4135</v>
      </c>
      <c r="Q1317" t="s">
        <v>4147</v>
      </c>
      <c r="R1317" t="s">
        <v>3522</v>
      </c>
      <c r="T1317" t="s">
        <v>4156</v>
      </c>
      <c r="U1317" t="s">
        <v>4168</v>
      </c>
      <c r="V1317" t="s">
        <v>207</v>
      </c>
      <c r="W1317">
        <v>250</v>
      </c>
      <c r="X1317" t="s">
        <v>4193</v>
      </c>
      <c r="Y1317" t="s">
        <v>4206</v>
      </c>
      <c r="Z1317" t="s">
        <v>5319</v>
      </c>
      <c r="AA1317" t="s">
        <v>3526</v>
      </c>
      <c r="AB1317" t="s">
        <v>6632</v>
      </c>
      <c r="AC1317">
        <v>96</v>
      </c>
      <c r="AD1317" t="s">
        <v>6772</v>
      </c>
      <c r="AE1317" t="s">
        <v>4200</v>
      </c>
      <c r="AF1317">
        <v>2</v>
      </c>
      <c r="AG1317">
        <v>1</v>
      </c>
      <c r="AH1317">
        <v>0</v>
      </c>
      <c r="AI1317">
        <v>264.21</v>
      </c>
      <c r="AL1317" t="s">
        <v>6801</v>
      </c>
      <c r="AM1317">
        <v>33000</v>
      </c>
    </row>
    <row r="1318" spans="1:44">
      <c r="A1318" s="1">
        <f>HYPERLINK("https://lsnyc.legalserver.org/matter/dynamic-profile/view/1906387","19-1906387")</f>
        <v>0</v>
      </c>
      <c r="B1318" t="s">
        <v>93</v>
      </c>
      <c r="C1318" t="s">
        <v>241</v>
      </c>
      <c r="E1318" t="s">
        <v>1046</v>
      </c>
      <c r="F1318" t="s">
        <v>1484</v>
      </c>
      <c r="G1318" t="s">
        <v>2849</v>
      </c>
      <c r="H1318">
        <v>41</v>
      </c>
      <c r="I1318" t="s">
        <v>3495</v>
      </c>
      <c r="J1318">
        <v>10032</v>
      </c>
      <c r="K1318" t="s">
        <v>3522</v>
      </c>
      <c r="L1318" t="s">
        <v>3525</v>
      </c>
      <c r="N1318" t="s">
        <v>4108</v>
      </c>
      <c r="O1318" t="s">
        <v>4133</v>
      </c>
      <c r="Q1318" t="s">
        <v>4147</v>
      </c>
      <c r="R1318" t="s">
        <v>3522</v>
      </c>
      <c r="T1318" t="s">
        <v>4156</v>
      </c>
      <c r="V1318" t="s">
        <v>241</v>
      </c>
      <c r="W1318">
        <v>1600</v>
      </c>
      <c r="X1318" t="s">
        <v>4196</v>
      </c>
      <c r="Y1318" t="s">
        <v>4205</v>
      </c>
      <c r="Z1318" t="s">
        <v>5320</v>
      </c>
      <c r="AB1318" t="s">
        <v>6633</v>
      </c>
      <c r="AC1318">
        <v>46</v>
      </c>
      <c r="AD1318" t="s">
        <v>6772</v>
      </c>
      <c r="AE1318" t="s">
        <v>3526</v>
      </c>
      <c r="AF1318">
        <v>30</v>
      </c>
      <c r="AG1318">
        <v>2</v>
      </c>
      <c r="AH1318">
        <v>3</v>
      </c>
      <c r="AI1318">
        <v>265.16</v>
      </c>
      <c r="AJ1318" t="s">
        <v>333</v>
      </c>
      <c r="AK1318" t="s">
        <v>6799</v>
      </c>
      <c r="AL1318" t="s">
        <v>6801</v>
      </c>
      <c r="AM1318">
        <v>80000</v>
      </c>
    </row>
    <row r="1319" spans="1:44">
      <c r="A1319" s="1">
        <f>HYPERLINK("https://lsnyc.legalserver.org/matter/dynamic-profile/view/1904947","19-1904947")</f>
        <v>0</v>
      </c>
      <c r="B1319" t="s">
        <v>68</v>
      </c>
      <c r="C1319" t="s">
        <v>272</v>
      </c>
      <c r="E1319" t="s">
        <v>1174</v>
      </c>
      <c r="F1319" t="s">
        <v>2048</v>
      </c>
      <c r="G1319" t="s">
        <v>3044</v>
      </c>
      <c r="H1319" t="s">
        <v>3173</v>
      </c>
      <c r="I1319" t="s">
        <v>3490</v>
      </c>
      <c r="J1319">
        <v>11221</v>
      </c>
      <c r="K1319" t="s">
        <v>3522</v>
      </c>
      <c r="L1319" t="s">
        <v>3525</v>
      </c>
      <c r="M1319" t="s">
        <v>3526</v>
      </c>
      <c r="N1319" t="s">
        <v>4112</v>
      </c>
      <c r="O1319" t="s">
        <v>4135</v>
      </c>
      <c r="Q1319" t="s">
        <v>4147</v>
      </c>
      <c r="R1319" t="s">
        <v>3522</v>
      </c>
      <c r="T1319" t="s">
        <v>4165</v>
      </c>
      <c r="U1319" t="s">
        <v>4168</v>
      </c>
      <c r="V1319" t="s">
        <v>336</v>
      </c>
      <c r="W1319">
        <v>863.91</v>
      </c>
      <c r="X1319" t="s">
        <v>4193</v>
      </c>
      <c r="Y1319" t="s">
        <v>4200</v>
      </c>
      <c r="Z1319" t="s">
        <v>5321</v>
      </c>
      <c r="AB1319" t="s">
        <v>6634</v>
      </c>
      <c r="AC1319">
        <v>16</v>
      </c>
      <c r="AD1319" t="s">
        <v>6772</v>
      </c>
      <c r="AE1319" t="s">
        <v>3526</v>
      </c>
      <c r="AF1319">
        <v>25</v>
      </c>
      <c r="AG1319">
        <v>1</v>
      </c>
      <c r="AH1319">
        <v>1</v>
      </c>
      <c r="AI1319">
        <v>266.11</v>
      </c>
      <c r="AL1319" t="s">
        <v>6801</v>
      </c>
      <c r="AM1319">
        <v>45000</v>
      </c>
      <c r="AN1319" t="s">
        <v>6887</v>
      </c>
    </row>
    <row r="1320" spans="1:44">
      <c r="A1320" s="1">
        <f>HYPERLINK("https://lsnyc.legalserver.org/matter/dynamic-profile/view/1907402","19-1907402")</f>
        <v>0</v>
      </c>
      <c r="B1320" t="s">
        <v>72</v>
      </c>
      <c r="C1320" t="s">
        <v>210</v>
      </c>
      <c r="D1320" t="s">
        <v>211</v>
      </c>
      <c r="E1320" t="s">
        <v>1175</v>
      </c>
      <c r="F1320" t="s">
        <v>1899</v>
      </c>
      <c r="G1320" t="s">
        <v>3045</v>
      </c>
      <c r="H1320" t="s">
        <v>3179</v>
      </c>
      <c r="I1320" t="s">
        <v>3490</v>
      </c>
      <c r="J1320">
        <v>11212</v>
      </c>
      <c r="K1320" t="s">
        <v>3522</v>
      </c>
      <c r="L1320" t="s">
        <v>3525</v>
      </c>
      <c r="M1320" t="s">
        <v>4071</v>
      </c>
      <c r="N1320" t="s">
        <v>4107</v>
      </c>
      <c r="O1320" t="s">
        <v>4135</v>
      </c>
      <c r="P1320" t="s">
        <v>4142</v>
      </c>
      <c r="Q1320" t="s">
        <v>4147</v>
      </c>
      <c r="R1320" t="s">
        <v>3523</v>
      </c>
      <c r="T1320" t="s">
        <v>4156</v>
      </c>
      <c r="U1320" t="s">
        <v>4168</v>
      </c>
      <c r="V1320" t="s">
        <v>193</v>
      </c>
      <c r="W1320">
        <v>1100</v>
      </c>
      <c r="X1320" t="s">
        <v>4193</v>
      </c>
      <c r="Y1320" t="s">
        <v>4200</v>
      </c>
      <c r="Z1320" t="s">
        <v>5322</v>
      </c>
      <c r="AB1320" t="s">
        <v>6635</v>
      </c>
      <c r="AC1320">
        <v>4</v>
      </c>
      <c r="AD1320" t="s">
        <v>6771</v>
      </c>
      <c r="AE1320" t="s">
        <v>3526</v>
      </c>
      <c r="AF1320">
        <v>17</v>
      </c>
      <c r="AG1320">
        <v>2</v>
      </c>
      <c r="AH1320">
        <v>0</v>
      </c>
      <c r="AI1320">
        <v>266.11</v>
      </c>
      <c r="AL1320" t="s">
        <v>6801</v>
      </c>
      <c r="AM1320">
        <v>45000</v>
      </c>
    </row>
    <row r="1321" spans="1:44">
      <c r="A1321" s="1">
        <f>HYPERLINK("https://lsnyc.legalserver.org/matter/dynamic-profile/view/1903680","19-1903680")</f>
        <v>0</v>
      </c>
      <c r="B1321" t="s">
        <v>60</v>
      </c>
      <c r="C1321" t="s">
        <v>286</v>
      </c>
      <c r="D1321" t="s">
        <v>239</v>
      </c>
      <c r="E1321" t="s">
        <v>656</v>
      </c>
      <c r="F1321" t="s">
        <v>2049</v>
      </c>
      <c r="G1321" t="s">
        <v>3046</v>
      </c>
      <c r="H1321" t="s">
        <v>3448</v>
      </c>
      <c r="I1321" t="s">
        <v>3490</v>
      </c>
      <c r="J1321">
        <v>11208</v>
      </c>
      <c r="K1321" t="s">
        <v>3522</v>
      </c>
      <c r="L1321" t="s">
        <v>3525</v>
      </c>
      <c r="M1321" t="s">
        <v>4072</v>
      </c>
      <c r="N1321" t="s">
        <v>4109</v>
      </c>
      <c r="O1321" t="s">
        <v>4135</v>
      </c>
      <c r="P1321" t="s">
        <v>4142</v>
      </c>
      <c r="Q1321" t="s">
        <v>4147</v>
      </c>
      <c r="R1321" t="s">
        <v>3523</v>
      </c>
      <c r="T1321" t="s">
        <v>4156</v>
      </c>
      <c r="U1321" t="s">
        <v>4170</v>
      </c>
      <c r="V1321" t="s">
        <v>209</v>
      </c>
      <c r="W1321">
        <v>1700</v>
      </c>
      <c r="X1321" t="s">
        <v>4193</v>
      </c>
      <c r="Y1321" t="s">
        <v>4197</v>
      </c>
      <c r="Z1321" t="s">
        <v>5323</v>
      </c>
      <c r="AA1321" t="s">
        <v>3526</v>
      </c>
      <c r="AC1321">
        <v>20</v>
      </c>
      <c r="AD1321" t="s">
        <v>6772</v>
      </c>
      <c r="AE1321" t="s">
        <v>3526</v>
      </c>
      <c r="AF1321">
        <v>2</v>
      </c>
      <c r="AG1321">
        <v>2</v>
      </c>
      <c r="AH1321">
        <v>1</v>
      </c>
      <c r="AI1321">
        <v>266.43</v>
      </c>
      <c r="AL1321" t="s">
        <v>6801</v>
      </c>
      <c r="AM1321">
        <v>56830</v>
      </c>
    </row>
    <row r="1322" spans="1:44">
      <c r="A1322" s="1">
        <f>HYPERLINK("https://lsnyc.legalserver.org/matter/dynamic-profile/view/1914898","19-1914898")</f>
        <v>0</v>
      </c>
      <c r="B1322" t="s">
        <v>67</v>
      </c>
      <c r="C1322" t="s">
        <v>301</v>
      </c>
      <c r="E1322" t="s">
        <v>1176</v>
      </c>
      <c r="F1322" t="s">
        <v>2050</v>
      </c>
      <c r="G1322" t="s">
        <v>2212</v>
      </c>
      <c r="H1322">
        <v>4</v>
      </c>
      <c r="I1322" t="s">
        <v>3490</v>
      </c>
      <c r="J1322">
        <v>11213</v>
      </c>
      <c r="K1322" t="s">
        <v>3522</v>
      </c>
      <c r="L1322" t="s">
        <v>3525</v>
      </c>
      <c r="M1322" t="s">
        <v>3570</v>
      </c>
      <c r="N1322" t="s">
        <v>4115</v>
      </c>
      <c r="O1322" t="s">
        <v>4134</v>
      </c>
      <c r="Q1322" t="s">
        <v>4147</v>
      </c>
      <c r="R1322" t="s">
        <v>3522</v>
      </c>
      <c r="T1322" t="s">
        <v>4156</v>
      </c>
      <c r="U1322" t="s">
        <v>4168</v>
      </c>
      <c r="V1322" t="s">
        <v>4178</v>
      </c>
      <c r="W1322">
        <v>993</v>
      </c>
      <c r="X1322" t="s">
        <v>4193</v>
      </c>
      <c r="Y1322" t="s">
        <v>4198</v>
      </c>
      <c r="Z1322" t="s">
        <v>5324</v>
      </c>
      <c r="AA1322" t="s">
        <v>3562</v>
      </c>
      <c r="AB1322" t="s">
        <v>6636</v>
      </c>
      <c r="AC1322">
        <v>31</v>
      </c>
      <c r="AD1322" t="s">
        <v>6772</v>
      </c>
      <c r="AE1322" t="s">
        <v>3526</v>
      </c>
      <c r="AF1322">
        <v>20</v>
      </c>
      <c r="AG1322">
        <v>3</v>
      </c>
      <c r="AH1322">
        <v>0</v>
      </c>
      <c r="AI1322">
        <v>267.23</v>
      </c>
      <c r="AK1322" t="s">
        <v>6799</v>
      </c>
      <c r="AL1322" t="s">
        <v>6801</v>
      </c>
      <c r="AM1322">
        <v>57000</v>
      </c>
      <c r="AN1322" t="s">
        <v>6878</v>
      </c>
    </row>
    <row r="1323" spans="1:44">
      <c r="A1323" s="1">
        <f>HYPERLINK("https://lsnyc.legalserver.org/matter/dynamic-profile/view/1913028","19-1913028")</f>
        <v>0</v>
      </c>
      <c r="B1323" t="s">
        <v>58</v>
      </c>
      <c r="C1323" t="s">
        <v>314</v>
      </c>
      <c r="E1323" t="s">
        <v>1176</v>
      </c>
      <c r="F1323" t="s">
        <v>2050</v>
      </c>
      <c r="G1323" t="s">
        <v>2212</v>
      </c>
      <c r="H1323">
        <v>4</v>
      </c>
      <c r="I1323" t="s">
        <v>3490</v>
      </c>
      <c r="J1323">
        <v>11213</v>
      </c>
      <c r="K1323" t="s">
        <v>3522</v>
      </c>
      <c r="L1323" t="s">
        <v>3525</v>
      </c>
      <c r="M1323" t="s">
        <v>3526</v>
      </c>
      <c r="N1323" t="s">
        <v>3554</v>
      </c>
      <c r="O1323" t="s">
        <v>4135</v>
      </c>
      <c r="Q1323" t="s">
        <v>4147</v>
      </c>
      <c r="R1323" t="s">
        <v>3522</v>
      </c>
      <c r="T1323" t="s">
        <v>4156</v>
      </c>
      <c r="U1323" t="s">
        <v>4168</v>
      </c>
      <c r="V1323" t="s">
        <v>314</v>
      </c>
      <c r="W1323">
        <v>993</v>
      </c>
      <c r="X1323" t="s">
        <v>4193</v>
      </c>
      <c r="Y1323" t="s">
        <v>4198</v>
      </c>
      <c r="Z1323" t="s">
        <v>5324</v>
      </c>
      <c r="AA1323" t="s">
        <v>3562</v>
      </c>
      <c r="AB1323" t="s">
        <v>6636</v>
      </c>
      <c r="AC1323">
        <v>31</v>
      </c>
      <c r="AD1323" t="s">
        <v>6772</v>
      </c>
      <c r="AE1323" t="s">
        <v>3526</v>
      </c>
      <c r="AF1323">
        <v>20</v>
      </c>
      <c r="AG1323">
        <v>3</v>
      </c>
      <c r="AH1323">
        <v>0</v>
      </c>
      <c r="AI1323">
        <v>267.23</v>
      </c>
      <c r="AL1323" t="s">
        <v>6801</v>
      </c>
      <c r="AM1323">
        <v>57000</v>
      </c>
      <c r="AN1323" t="s">
        <v>6888</v>
      </c>
    </row>
    <row r="1324" spans="1:44">
      <c r="A1324" s="1">
        <f>HYPERLINK("https://lsnyc.legalserver.org/matter/dynamic-profile/view/1915079","19-1915079")</f>
        <v>0</v>
      </c>
      <c r="B1324" t="s">
        <v>97</v>
      </c>
      <c r="C1324" t="s">
        <v>219</v>
      </c>
      <c r="E1324" t="s">
        <v>422</v>
      </c>
      <c r="F1324" t="s">
        <v>2051</v>
      </c>
      <c r="G1324" t="s">
        <v>2770</v>
      </c>
      <c r="H1324" t="s">
        <v>3149</v>
      </c>
      <c r="I1324" t="s">
        <v>3490</v>
      </c>
      <c r="J1324">
        <v>11213</v>
      </c>
      <c r="K1324" t="s">
        <v>3522</v>
      </c>
      <c r="L1324" t="s">
        <v>3525</v>
      </c>
      <c r="M1324" t="s">
        <v>3529</v>
      </c>
      <c r="N1324" t="s">
        <v>3554</v>
      </c>
      <c r="O1324" t="s">
        <v>4132</v>
      </c>
      <c r="Q1324" t="s">
        <v>4147</v>
      </c>
      <c r="R1324" t="s">
        <v>3523</v>
      </c>
      <c r="T1324" t="s">
        <v>4156</v>
      </c>
      <c r="U1324" t="s">
        <v>4168</v>
      </c>
      <c r="V1324" t="s">
        <v>267</v>
      </c>
      <c r="W1324">
        <v>0</v>
      </c>
      <c r="X1324" t="s">
        <v>4193</v>
      </c>
      <c r="Y1324" t="s">
        <v>4198</v>
      </c>
      <c r="Z1324" t="s">
        <v>5325</v>
      </c>
      <c r="AA1324" t="s">
        <v>3562</v>
      </c>
      <c r="AB1324" t="s">
        <v>6637</v>
      </c>
      <c r="AC1324">
        <v>19</v>
      </c>
      <c r="AD1324" t="s">
        <v>6772</v>
      </c>
      <c r="AE1324" t="s">
        <v>3526</v>
      </c>
      <c r="AF1324">
        <v>0</v>
      </c>
      <c r="AG1324">
        <v>3</v>
      </c>
      <c r="AH1324">
        <v>2</v>
      </c>
      <c r="AI1324">
        <v>267.82</v>
      </c>
      <c r="AL1324" t="s">
        <v>6801</v>
      </c>
      <c r="AM1324">
        <v>80800</v>
      </c>
    </row>
    <row r="1325" spans="1:44">
      <c r="A1325" s="1">
        <f>HYPERLINK("https://lsnyc.legalserver.org/matter/dynamic-profile/view/1900296","19-1900296")</f>
        <v>0</v>
      </c>
      <c r="B1325" t="s">
        <v>69</v>
      </c>
      <c r="C1325" t="s">
        <v>368</v>
      </c>
      <c r="E1325" t="s">
        <v>1177</v>
      </c>
      <c r="F1325" t="s">
        <v>1268</v>
      </c>
      <c r="G1325" t="s">
        <v>3047</v>
      </c>
      <c r="H1325" t="s">
        <v>3153</v>
      </c>
      <c r="I1325" t="s">
        <v>3490</v>
      </c>
      <c r="J1325">
        <v>11208</v>
      </c>
      <c r="K1325" t="s">
        <v>3522</v>
      </c>
      <c r="L1325" t="s">
        <v>3525</v>
      </c>
      <c r="M1325" t="s">
        <v>4073</v>
      </c>
      <c r="N1325" t="s">
        <v>4109</v>
      </c>
      <c r="O1325" t="s">
        <v>4134</v>
      </c>
      <c r="Q1325" t="s">
        <v>4147</v>
      </c>
      <c r="R1325" t="s">
        <v>3523</v>
      </c>
      <c r="T1325" t="s">
        <v>4156</v>
      </c>
      <c r="U1325" t="s">
        <v>4168</v>
      </c>
      <c r="V1325" t="s">
        <v>259</v>
      </c>
      <c r="W1325">
        <v>744.58</v>
      </c>
      <c r="X1325" t="s">
        <v>4193</v>
      </c>
      <c r="Y1325" t="s">
        <v>4200</v>
      </c>
      <c r="Z1325" t="s">
        <v>5326</v>
      </c>
      <c r="AB1325" t="s">
        <v>6638</v>
      </c>
      <c r="AC1325">
        <v>294</v>
      </c>
      <c r="AD1325" t="s">
        <v>6772</v>
      </c>
      <c r="AE1325" t="s">
        <v>6786</v>
      </c>
      <c r="AF1325">
        <v>42</v>
      </c>
      <c r="AG1325">
        <v>1</v>
      </c>
      <c r="AH1325">
        <v>0</v>
      </c>
      <c r="AI1325">
        <v>268.78</v>
      </c>
      <c r="AL1325" t="s">
        <v>6801</v>
      </c>
      <c r="AM1325">
        <v>33570</v>
      </c>
    </row>
    <row r="1326" spans="1:44">
      <c r="A1326" s="1">
        <f>HYPERLINK("https://lsnyc.legalserver.org/matter/dynamic-profile/view/1907459","19-1907459")</f>
        <v>0</v>
      </c>
      <c r="B1326" t="s">
        <v>86</v>
      </c>
      <c r="C1326" t="s">
        <v>185</v>
      </c>
      <c r="E1326" t="s">
        <v>1178</v>
      </c>
      <c r="F1326" t="s">
        <v>2052</v>
      </c>
      <c r="G1326" t="s">
        <v>3048</v>
      </c>
      <c r="H1326">
        <v>4</v>
      </c>
      <c r="I1326" t="s">
        <v>3495</v>
      </c>
      <c r="J1326">
        <v>10034</v>
      </c>
      <c r="K1326" t="s">
        <v>3522</v>
      </c>
      <c r="L1326" t="s">
        <v>3525</v>
      </c>
      <c r="O1326" t="s">
        <v>4136</v>
      </c>
      <c r="Q1326" t="s">
        <v>4147</v>
      </c>
      <c r="R1326" t="s">
        <v>3523</v>
      </c>
      <c r="T1326" t="s">
        <v>4156</v>
      </c>
      <c r="V1326" t="s">
        <v>185</v>
      </c>
      <c r="W1326">
        <v>1384</v>
      </c>
      <c r="X1326" t="s">
        <v>4196</v>
      </c>
      <c r="Y1326" t="s">
        <v>4205</v>
      </c>
      <c r="Z1326" t="s">
        <v>5327</v>
      </c>
      <c r="AB1326" t="s">
        <v>6639</v>
      </c>
      <c r="AC1326">
        <v>20</v>
      </c>
      <c r="AD1326" t="s">
        <v>6772</v>
      </c>
      <c r="AE1326" t="s">
        <v>3526</v>
      </c>
      <c r="AF1326">
        <v>7</v>
      </c>
      <c r="AG1326">
        <v>4</v>
      </c>
      <c r="AH1326">
        <v>1</v>
      </c>
      <c r="AI1326">
        <v>271.79</v>
      </c>
      <c r="AL1326" t="s">
        <v>6802</v>
      </c>
      <c r="AM1326">
        <v>82000</v>
      </c>
    </row>
    <row r="1327" spans="1:44">
      <c r="A1327" s="1">
        <f>HYPERLINK("https://lsnyc.legalserver.org/matter/dynamic-profile/view/1913067","19-1913067")</f>
        <v>0</v>
      </c>
      <c r="B1327" t="s">
        <v>49</v>
      </c>
      <c r="C1327" t="s">
        <v>273</v>
      </c>
      <c r="E1327" t="s">
        <v>1179</v>
      </c>
      <c r="F1327" t="s">
        <v>2053</v>
      </c>
      <c r="G1327" t="s">
        <v>3049</v>
      </c>
      <c r="H1327" t="s">
        <v>3449</v>
      </c>
      <c r="I1327" t="s">
        <v>3487</v>
      </c>
      <c r="J1327">
        <v>11368</v>
      </c>
      <c r="K1327" t="s">
        <v>3522</v>
      </c>
      <c r="L1327" t="s">
        <v>3525</v>
      </c>
      <c r="N1327" t="s">
        <v>4113</v>
      </c>
      <c r="O1327" t="s">
        <v>4135</v>
      </c>
      <c r="Q1327" t="s">
        <v>4147</v>
      </c>
      <c r="R1327" t="s">
        <v>3522</v>
      </c>
      <c r="T1327" t="s">
        <v>4156</v>
      </c>
      <c r="V1327" t="s">
        <v>273</v>
      </c>
      <c r="W1327">
        <v>2275</v>
      </c>
      <c r="X1327" t="s">
        <v>4192</v>
      </c>
      <c r="Y1327" t="s">
        <v>4198</v>
      </c>
      <c r="Z1327" t="s">
        <v>5328</v>
      </c>
      <c r="AB1327" t="s">
        <v>5482</v>
      </c>
      <c r="AC1327">
        <v>232</v>
      </c>
      <c r="AD1327" t="s">
        <v>6772</v>
      </c>
      <c r="AE1327" t="s">
        <v>3526</v>
      </c>
      <c r="AF1327">
        <v>1</v>
      </c>
      <c r="AG1327">
        <v>4</v>
      </c>
      <c r="AH1327">
        <v>0</v>
      </c>
      <c r="AI1327">
        <v>272.62</v>
      </c>
      <c r="AL1327" t="s">
        <v>6802</v>
      </c>
      <c r="AM1327">
        <v>70200</v>
      </c>
    </row>
    <row r="1328" spans="1:44">
      <c r="A1328" s="1">
        <f>HYPERLINK("https://lsnyc.legalserver.org/matter/dynamic-profile/view/1914520","19-1914520")</f>
        <v>0</v>
      </c>
      <c r="B1328" t="s">
        <v>49</v>
      </c>
      <c r="C1328" t="s">
        <v>273</v>
      </c>
      <c r="E1328" t="s">
        <v>1179</v>
      </c>
      <c r="F1328" t="s">
        <v>2053</v>
      </c>
      <c r="G1328" t="s">
        <v>3049</v>
      </c>
      <c r="H1328" t="s">
        <v>3449</v>
      </c>
      <c r="I1328" t="s">
        <v>3487</v>
      </c>
      <c r="J1328">
        <v>11368</v>
      </c>
      <c r="K1328" t="s">
        <v>3522</v>
      </c>
      <c r="L1328" t="s">
        <v>3525</v>
      </c>
      <c r="N1328" t="s">
        <v>4113</v>
      </c>
      <c r="O1328" t="s">
        <v>4135</v>
      </c>
      <c r="Q1328" t="s">
        <v>4147</v>
      </c>
      <c r="R1328" t="s">
        <v>3522</v>
      </c>
      <c r="T1328" t="s">
        <v>4156</v>
      </c>
      <c r="U1328" t="s">
        <v>4168</v>
      </c>
      <c r="V1328" t="s">
        <v>273</v>
      </c>
      <c r="W1328">
        <v>2275</v>
      </c>
      <c r="X1328" t="s">
        <v>4192</v>
      </c>
      <c r="Y1328" t="s">
        <v>4198</v>
      </c>
      <c r="Z1328" t="s">
        <v>5328</v>
      </c>
      <c r="AA1328" t="s">
        <v>5482</v>
      </c>
      <c r="AB1328" t="s">
        <v>5482</v>
      </c>
      <c r="AC1328">
        <v>232</v>
      </c>
      <c r="AD1328" t="s">
        <v>6772</v>
      </c>
      <c r="AE1328" t="s">
        <v>3526</v>
      </c>
      <c r="AF1328">
        <v>1</v>
      </c>
      <c r="AG1328">
        <v>4</v>
      </c>
      <c r="AH1328">
        <v>0</v>
      </c>
      <c r="AI1328">
        <v>272.62</v>
      </c>
      <c r="AL1328" t="s">
        <v>6802</v>
      </c>
      <c r="AM1328">
        <v>70200</v>
      </c>
    </row>
    <row r="1329" spans="1:44">
      <c r="A1329" s="1">
        <f>HYPERLINK("https://lsnyc.legalserver.org/matter/dynamic-profile/view/1880738","18-1880738")</f>
        <v>0</v>
      </c>
      <c r="B1329" t="s">
        <v>52</v>
      </c>
      <c r="C1329" t="s">
        <v>369</v>
      </c>
      <c r="D1329" t="s">
        <v>326</v>
      </c>
      <c r="E1329" t="s">
        <v>485</v>
      </c>
      <c r="F1329" t="s">
        <v>2054</v>
      </c>
      <c r="G1329" t="s">
        <v>3050</v>
      </c>
      <c r="H1329" t="s">
        <v>3221</v>
      </c>
      <c r="I1329" t="s">
        <v>3490</v>
      </c>
      <c r="J1329">
        <v>11226</v>
      </c>
      <c r="K1329" t="s">
        <v>3522</v>
      </c>
      <c r="L1329" t="s">
        <v>3525</v>
      </c>
      <c r="N1329" t="s">
        <v>3554</v>
      </c>
      <c r="O1329" t="s">
        <v>4135</v>
      </c>
      <c r="P1329" t="s">
        <v>4142</v>
      </c>
      <c r="Q1329" t="s">
        <v>4147</v>
      </c>
      <c r="R1329" t="s">
        <v>3522</v>
      </c>
      <c r="T1329" t="s">
        <v>4156</v>
      </c>
      <c r="V1329" t="s">
        <v>202</v>
      </c>
      <c r="W1329">
        <v>945</v>
      </c>
      <c r="X1329" t="s">
        <v>4193</v>
      </c>
      <c r="Y1329" t="s">
        <v>4206</v>
      </c>
      <c r="Z1329" t="s">
        <v>5329</v>
      </c>
      <c r="AC1329">
        <v>48</v>
      </c>
      <c r="AD1329" t="s">
        <v>6772</v>
      </c>
      <c r="AE1329" t="s">
        <v>3526</v>
      </c>
      <c r="AF1329">
        <v>30</v>
      </c>
      <c r="AG1329">
        <v>2</v>
      </c>
      <c r="AH1329">
        <v>0</v>
      </c>
      <c r="AI1329">
        <v>273.39</v>
      </c>
      <c r="AL1329" t="s">
        <v>6801</v>
      </c>
      <c r="AM1329">
        <v>45000</v>
      </c>
      <c r="AN1329" t="s">
        <v>6889</v>
      </c>
    </row>
    <row r="1330" spans="1:44">
      <c r="A1330" s="1">
        <f>HYPERLINK("https://lsnyc.legalserver.org/matter/dynamic-profile/view/1908285","19-1908285")</f>
        <v>0</v>
      </c>
      <c r="B1330" t="s">
        <v>55</v>
      </c>
      <c r="C1330" t="s">
        <v>211</v>
      </c>
      <c r="D1330" t="s">
        <v>237</v>
      </c>
      <c r="E1330" t="s">
        <v>1095</v>
      </c>
      <c r="F1330" t="s">
        <v>1369</v>
      </c>
      <c r="G1330" t="s">
        <v>3051</v>
      </c>
      <c r="H1330" t="s">
        <v>3450</v>
      </c>
      <c r="I1330" t="s">
        <v>3490</v>
      </c>
      <c r="J1330">
        <v>11233</v>
      </c>
      <c r="K1330" t="s">
        <v>3522</v>
      </c>
      <c r="L1330" t="s">
        <v>3525</v>
      </c>
      <c r="M1330" t="s">
        <v>4074</v>
      </c>
      <c r="N1330" t="s">
        <v>4109</v>
      </c>
      <c r="O1330" t="s">
        <v>4134</v>
      </c>
      <c r="P1330" t="s">
        <v>4140</v>
      </c>
      <c r="Q1330" t="s">
        <v>4147</v>
      </c>
      <c r="R1330" t="s">
        <v>3523</v>
      </c>
      <c r="T1330" t="s">
        <v>4156</v>
      </c>
      <c r="U1330" t="s">
        <v>4168</v>
      </c>
      <c r="V1330" t="s">
        <v>291</v>
      </c>
      <c r="W1330">
        <v>1000</v>
      </c>
      <c r="X1330" t="s">
        <v>4193</v>
      </c>
      <c r="Y1330" t="s">
        <v>4201</v>
      </c>
      <c r="Z1330" t="s">
        <v>5330</v>
      </c>
      <c r="AA1330" t="s">
        <v>3526</v>
      </c>
      <c r="AB1330" t="s">
        <v>6640</v>
      </c>
      <c r="AC1330">
        <v>3</v>
      </c>
      <c r="AD1330" t="s">
        <v>6780</v>
      </c>
      <c r="AE1330" t="s">
        <v>3526</v>
      </c>
      <c r="AF1330">
        <v>7</v>
      </c>
      <c r="AG1330">
        <v>2</v>
      </c>
      <c r="AH1330">
        <v>2</v>
      </c>
      <c r="AI1330">
        <v>276.72</v>
      </c>
      <c r="AJ1330" t="s">
        <v>208</v>
      </c>
      <c r="AK1330" t="s">
        <v>6799</v>
      </c>
      <c r="AL1330" t="s">
        <v>6801</v>
      </c>
      <c r="AM1330">
        <v>71256</v>
      </c>
      <c r="AO1330" t="s">
        <v>6915</v>
      </c>
      <c r="AP1330" t="s">
        <v>6924</v>
      </c>
      <c r="AQ1330" t="s">
        <v>6945</v>
      </c>
    </row>
    <row r="1331" spans="1:44">
      <c r="A1331" s="1">
        <f>HYPERLINK("https://lsnyc.legalserver.org/matter/dynamic-profile/view/1897595","19-1897595")</f>
        <v>0</v>
      </c>
      <c r="B1331" t="s">
        <v>122</v>
      </c>
      <c r="C1331" t="s">
        <v>280</v>
      </c>
      <c r="E1331" t="s">
        <v>1180</v>
      </c>
      <c r="F1331" t="s">
        <v>1785</v>
      </c>
      <c r="G1331" t="s">
        <v>3052</v>
      </c>
      <c r="H1331" t="s">
        <v>3451</v>
      </c>
      <c r="I1331" t="s">
        <v>3487</v>
      </c>
      <c r="J1331">
        <v>11368</v>
      </c>
      <c r="K1331" t="s">
        <v>3522</v>
      </c>
      <c r="L1331" t="s">
        <v>3525</v>
      </c>
      <c r="M1331" t="s">
        <v>3545</v>
      </c>
      <c r="N1331" t="s">
        <v>4110</v>
      </c>
      <c r="O1331" t="s">
        <v>4137</v>
      </c>
      <c r="Q1331" t="s">
        <v>4147</v>
      </c>
      <c r="R1331" t="s">
        <v>3522</v>
      </c>
      <c r="T1331" t="s">
        <v>4156</v>
      </c>
      <c r="U1331" t="s">
        <v>4168</v>
      </c>
      <c r="V1331" t="s">
        <v>228</v>
      </c>
      <c r="W1331">
        <v>1293</v>
      </c>
      <c r="X1331" t="s">
        <v>4192</v>
      </c>
      <c r="Y1331" t="s">
        <v>4200</v>
      </c>
      <c r="Z1331" t="s">
        <v>5331</v>
      </c>
      <c r="AB1331" t="s">
        <v>6641</v>
      </c>
      <c r="AC1331">
        <v>224</v>
      </c>
      <c r="AD1331" t="s">
        <v>6772</v>
      </c>
      <c r="AE1331" t="s">
        <v>3526</v>
      </c>
      <c r="AF1331">
        <v>30</v>
      </c>
      <c r="AG1331">
        <v>2</v>
      </c>
      <c r="AH1331">
        <v>0</v>
      </c>
      <c r="AI1331">
        <v>276.76</v>
      </c>
      <c r="AJ1331" t="s">
        <v>269</v>
      </c>
      <c r="AK1331" t="s">
        <v>6799</v>
      </c>
      <c r="AL1331" t="s">
        <v>6801</v>
      </c>
      <c r="AM1331">
        <v>46800</v>
      </c>
    </row>
    <row r="1332" spans="1:44">
      <c r="A1332" s="1">
        <f>HYPERLINK("https://lsnyc.legalserver.org/matter/dynamic-profile/view/1896083","19-1896083")</f>
        <v>0</v>
      </c>
      <c r="B1332" t="s">
        <v>47</v>
      </c>
      <c r="C1332" t="s">
        <v>370</v>
      </c>
      <c r="E1332" t="s">
        <v>1173</v>
      </c>
      <c r="F1332" t="s">
        <v>2055</v>
      </c>
      <c r="G1332" t="s">
        <v>3053</v>
      </c>
      <c r="H1332" t="s">
        <v>3366</v>
      </c>
      <c r="I1332" t="s">
        <v>3488</v>
      </c>
      <c r="J1332">
        <v>11354</v>
      </c>
      <c r="K1332" t="s">
        <v>3522</v>
      </c>
      <c r="L1332" t="s">
        <v>3525</v>
      </c>
      <c r="M1332" t="s">
        <v>4075</v>
      </c>
      <c r="N1332" t="s">
        <v>4107</v>
      </c>
      <c r="O1332" t="s">
        <v>4134</v>
      </c>
      <c r="Q1332" t="s">
        <v>4147</v>
      </c>
      <c r="R1332" t="s">
        <v>3523</v>
      </c>
      <c r="T1332" t="s">
        <v>4156</v>
      </c>
      <c r="U1332" t="s">
        <v>4172</v>
      </c>
      <c r="V1332" t="s">
        <v>4174</v>
      </c>
      <c r="W1332">
        <v>774</v>
      </c>
      <c r="X1332" t="s">
        <v>4192</v>
      </c>
      <c r="Y1332" t="s">
        <v>4197</v>
      </c>
      <c r="Z1332" t="s">
        <v>5332</v>
      </c>
      <c r="AA1332" t="s">
        <v>5482</v>
      </c>
      <c r="AB1332" t="s">
        <v>6642</v>
      </c>
      <c r="AC1332">
        <v>6</v>
      </c>
      <c r="AD1332" t="s">
        <v>6772</v>
      </c>
      <c r="AE1332" t="s">
        <v>3526</v>
      </c>
      <c r="AF1332">
        <v>39</v>
      </c>
      <c r="AG1332">
        <v>2</v>
      </c>
      <c r="AH1332">
        <v>0</v>
      </c>
      <c r="AI1332">
        <v>276.76</v>
      </c>
      <c r="AL1332" t="s">
        <v>6801</v>
      </c>
      <c r="AM1332">
        <v>46800</v>
      </c>
    </row>
    <row r="1333" spans="1:44">
      <c r="A1333" s="1">
        <f>HYPERLINK("https://lsnyc.legalserver.org/matter/dynamic-profile/view/1896786","19-1896786")</f>
        <v>0</v>
      </c>
      <c r="B1333" t="s">
        <v>107</v>
      </c>
      <c r="C1333" t="s">
        <v>371</v>
      </c>
      <c r="D1333" t="s">
        <v>303</v>
      </c>
      <c r="E1333" t="s">
        <v>1181</v>
      </c>
      <c r="F1333" t="s">
        <v>2056</v>
      </c>
      <c r="G1333" t="s">
        <v>2440</v>
      </c>
      <c r="H1333" t="s">
        <v>3224</v>
      </c>
      <c r="I1333" t="s">
        <v>3494</v>
      </c>
      <c r="J1333">
        <v>10304</v>
      </c>
      <c r="K1333" t="s">
        <v>3522</v>
      </c>
      <c r="L1333" t="s">
        <v>3525</v>
      </c>
      <c r="M1333" t="s">
        <v>4076</v>
      </c>
      <c r="N1333" t="s">
        <v>4109</v>
      </c>
      <c r="O1333" t="s">
        <v>4134</v>
      </c>
      <c r="P1333" t="s">
        <v>4140</v>
      </c>
      <c r="Q1333" t="s">
        <v>4147</v>
      </c>
      <c r="R1333" t="s">
        <v>3523</v>
      </c>
      <c r="T1333" t="s">
        <v>4156</v>
      </c>
      <c r="U1333" t="s">
        <v>4168</v>
      </c>
      <c r="V1333" t="s">
        <v>272</v>
      </c>
      <c r="W1333">
        <v>1570</v>
      </c>
      <c r="X1333" t="s">
        <v>4195</v>
      </c>
      <c r="Y1333" t="s">
        <v>4203</v>
      </c>
      <c r="Z1333" t="s">
        <v>4891</v>
      </c>
      <c r="AB1333" t="s">
        <v>6643</v>
      </c>
      <c r="AC1333">
        <v>150</v>
      </c>
      <c r="AD1333" t="s">
        <v>6778</v>
      </c>
      <c r="AE1333" t="s">
        <v>3526</v>
      </c>
      <c r="AF1333">
        <v>16</v>
      </c>
      <c r="AG1333">
        <v>1</v>
      </c>
      <c r="AH1333">
        <v>1</v>
      </c>
      <c r="AI1333">
        <v>276.76</v>
      </c>
      <c r="AK1333" t="s">
        <v>6799</v>
      </c>
      <c r="AL1333" t="s">
        <v>4200</v>
      </c>
      <c r="AM1333">
        <v>46800</v>
      </c>
    </row>
    <row r="1334" spans="1:44">
      <c r="A1334" s="1">
        <f>HYPERLINK("https://lsnyc.legalserver.org/matter/dynamic-profile/view/1914537","19-1914537")</f>
        <v>0</v>
      </c>
      <c r="B1334" t="s">
        <v>75</v>
      </c>
      <c r="C1334" t="s">
        <v>273</v>
      </c>
      <c r="D1334" t="s">
        <v>273</v>
      </c>
      <c r="E1334" t="s">
        <v>1182</v>
      </c>
      <c r="F1334" t="s">
        <v>2057</v>
      </c>
      <c r="G1334" t="s">
        <v>2368</v>
      </c>
      <c r="H1334" t="s">
        <v>3452</v>
      </c>
      <c r="I1334" t="s">
        <v>3493</v>
      </c>
      <c r="J1334">
        <v>10453</v>
      </c>
      <c r="K1334" t="s">
        <v>3522</v>
      </c>
      <c r="L1334" t="s">
        <v>3525</v>
      </c>
      <c r="O1334" t="s">
        <v>4132</v>
      </c>
      <c r="P1334" t="s">
        <v>4139</v>
      </c>
      <c r="Q1334" t="s">
        <v>4147</v>
      </c>
      <c r="T1334" t="s">
        <v>4156</v>
      </c>
      <c r="V1334" t="s">
        <v>289</v>
      </c>
      <c r="W1334">
        <v>0</v>
      </c>
      <c r="X1334" t="s">
        <v>4194</v>
      </c>
      <c r="Z1334" t="s">
        <v>5333</v>
      </c>
      <c r="AB1334" t="s">
        <v>6644</v>
      </c>
      <c r="AC1334">
        <v>0</v>
      </c>
      <c r="AD1334" t="s">
        <v>6772</v>
      </c>
      <c r="AF1334">
        <v>0</v>
      </c>
      <c r="AG1334">
        <v>1</v>
      </c>
      <c r="AH1334">
        <v>0</v>
      </c>
      <c r="AI1334">
        <v>278.62</v>
      </c>
      <c r="AL1334" t="s">
        <v>6801</v>
      </c>
      <c r="AM1334">
        <v>34800</v>
      </c>
    </row>
    <row r="1335" spans="1:44">
      <c r="A1335" s="1">
        <f>HYPERLINK("https://lsnyc.legalserver.org/matter/dynamic-profile/view/1913771","19-1913771")</f>
        <v>0</v>
      </c>
      <c r="B1335" t="s">
        <v>124</v>
      </c>
      <c r="C1335" t="s">
        <v>238</v>
      </c>
      <c r="E1335" t="s">
        <v>697</v>
      </c>
      <c r="F1335" t="s">
        <v>2058</v>
      </c>
      <c r="G1335" t="s">
        <v>3054</v>
      </c>
      <c r="H1335" t="s">
        <v>3453</v>
      </c>
      <c r="I1335" t="s">
        <v>3493</v>
      </c>
      <c r="J1335">
        <v>10457</v>
      </c>
      <c r="K1335" t="s">
        <v>3522</v>
      </c>
      <c r="L1335" t="s">
        <v>3525</v>
      </c>
      <c r="M1335" t="s">
        <v>4077</v>
      </c>
      <c r="O1335" t="s">
        <v>4136</v>
      </c>
      <c r="Q1335" t="s">
        <v>4147</v>
      </c>
      <c r="T1335" t="s">
        <v>4156</v>
      </c>
      <c r="V1335" t="s">
        <v>199</v>
      </c>
      <c r="W1335">
        <v>0</v>
      </c>
      <c r="X1335" t="s">
        <v>4194</v>
      </c>
      <c r="Z1335" t="s">
        <v>5334</v>
      </c>
      <c r="AB1335" t="s">
        <v>6645</v>
      </c>
      <c r="AC1335">
        <v>73</v>
      </c>
      <c r="AF1335">
        <v>0</v>
      </c>
      <c r="AG1335">
        <v>1</v>
      </c>
      <c r="AH1335">
        <v>0</v>
      </c>
      <c r="AI1335">
        <v>278.84</v>
      </c>
      <c r="AL1335" t="s">
        <v>6801</v>
      </c>
      <c r="AM1335">
        <v>34826.76</v>
      </c>
    </row>
    <row r="1336" spans="1:44">
      <c r="A1336" s="1">
        <f>HYPERLINK("https://lsnyc.legalserver.org/matter/dynamic-profile/view/1911197","19-1911197")</f>
        <v>0</v>
      </c>
      <c r="B1336" t="s">
        <v>91</v>
      </c>
      <c r="C1336" t="s">
        <v>212</v>
      </c>
      <c r="D1336" t="s">
        <v>238</v>
      </c>
      <c r="E1336" t="s">
        <v>1183</v>
      </c>
      <c r="F1336" t="s">
        <v>1987</v>
      </c>
      <c r="G1336" t="s">
        <v>3055</v>
      </c>
      <c r="H1336">
        <v>2504</v>
      </c>
      <c r="I1336" t="s">
        <v>3495</v>
      </c>
      <c r="J1336">
        <v>10035</v>
      </c>
      <c r="K1336" t="s">
        <v>3522</v>
      </c>
      <c r="L1336" t="s">
        <v>3525</v>
      </c>
      <c r="N1336" t="s">
        <v>3554</v>
      </c>
      <c r="O1336" t="s">
        <v>4132</v>
      </c>
      <c r="P1336" t="s">
        <v>4139</v>
      </c>
      <c r="Q1336" t="s">
        <v>4147</v>
      </c>
      <c r="R1336" t="s">
        <v>3523</v>
      </c>
      <c r="T1336" t="s">
        <v>4156</v>
      </c>
      <c r="U1336" t="s">
        <v>4168</v>
      </c>
      <c r="V1336" t="s">
        <v>194</v>
      </c>
      <c r="W1336">
        <v>1389</v>
      </c>
      <c r="X1336" t="s">
        <v>4196</v>
      </c>
      <c r="Y1336" t="s">
        <v>4201</v>
      </c>
      <c r="Z1336" t="s">
        <v>5335</v>
      </c>
      <c r="AB1336" t="s">
        <v>6646</v>
      </c>
      <c r="AC1336">
        <v>100</v>
      </c>
      <c r="AD1336" t="s">
        <v>5524</v>
      </c>
      <c r="AE1336" t="s">
        <v>6786</v>
      </c>
      <c r="AF1336">
        <v>32</v>
      </c>
      <c r="AG1336">
        <v>2</v>
      </c>
      <c r="AH1336">
        <v>0</v>
      </c>
      <c r="AI1336">
        <v>279.03</v>
      </c>
      <c r="AL1336" t="s">
        <v>6801</v>
      </c>
      <c r="AM1336">
        <v>47184</v>
      </c>
    </row>
    <row r="1337" spans="1:44">
      <c r="A1337" s="1">
        <f>HYPERLINK("https://lsnyc.legalserver.org/matter/dynamic-profile/view/1911581","19-1911581")</f>
        <v>0</v>
      </c>
      <c r="B1337" t="s">
        <v>89</v>
      </c>
      <c r="C1337" t="s">
        <v>291</v>
      </c>
      <c r="E1337" t="s">
        <v>1184</v>
      </c>
      <c r="F1337" t="s">
        <v>2059</v>
      </c>
      <c r="G1337" t="s">
        <v>3056</v>
      </c>
      <c r="H1337" t="s">
        <v>3140</v>
      </c>
      <c r="I1337" t="s">
        <v>3495</v>
      </c>
      <c r="J1337">
        <v>10034</v>
      </c>
      <c r="K1337" t="s">
        <v>3522</v>
      </c>
      <c r="L1337" t="s">
        <v>3525</v>
      </c>
      <c r="N1337" t="s">
        <v>4108</v>
      </c>
      <c r="O1337" t="s">
        <v>4134</v>
      </c>
      <c r="Q1337" t="s">
        <v>4147</v>
      </c>
      <c r="R1337" t="s">
        <v>3522</v>
      </c>
      <c r="T1337" t="s">
        <v>4156</v>
      </c>
      <c r="V1337" t="s">
        <v>291</v>
      </c>
      <c r="W1337">
        <v>1500</v>
      </c>
      <c r="X1337" t="s">
        <v>4196</v>
      </c>
      <c r="Y1337" t="s">
        <v>4205</v>
      </c>
      <c r="Z1337" t="s">
        <v>5336</v>
      </c>
      <c r="AB1337" t="s">
        <v>6647</v>
      </c>
      <c r="AC1337">
        <v>43</v>
      </c>
      <c r="AD1337" t="s">
        <v>6772</v>
      </c>
      <c r="AE1337" t="s">
        <v>3526</v>
      </c>
      <c r="AF1337">
        <v>1</v>
      </c>
      <c r="AG1337">
        <v>2</v>
      </c>
      <c r="AH1337">
        <v>0</v>
      </c>
      <c r="AI1337">
        <v>279.91</v>
      </c>
      <c r="AJ1337" t="s">
        <v>269</v>
      </c>
      <c r="AK1337" t="s">
        <v>6799</v>
      </c>
      <c r="AL1337" t="s">
        <v>6801</v>
      </c>
      <c r="AM1337">
        <v>47333</v>
      </c>
    </row>
    <row r="1338" spans="1:44">
      <c r="A1338" s="1">
        <f>HYPERLINK("https://lsnyc.legalserver.org/matter/dynamic-profile/view/1914502","19-1914502")</f>
        <v>0</v>
      </c>
      <c r="B1338" t="s">
        <v>132</v>
      </c>
      <c r="C1338" t="s">
        <v>273</v>
      </c>
      <c r="D1338" t="s">
        <v>189</v>
      </c>
      <c r="E1338" t="s">
        <v>1185</v>
      </c>
      <c r="F1338" t="s">
        <v>1479</v>
      </c>
      <c r="G1338" t="s">
        <v>3057</v>
      </c>
      <c r="H1338" t="s">
        <v>3203</v>
      </c>
      <c r="I1338" t="s">
        <v>3495</v>
      </c>
      <c r="J1338">
        <v>10039</v>
      </c>
      <c r="K1338" t="s">
        <v>3522</v>
      </c>
      <c r="L1338" t="s">
        <v>3525</v>
      </c>
      <c r="N1338" t="s">
        <v>3554</v>
      </c>
      <c r="O1338" t="s">
        <v>4132</v>
      </c>
      <c r="P1338" t="s">
        <v>4139</v>
      </c>
      <c r="Q1338" t="s">
        <v>4147</v>
      </c>
      <c r="R1338" t="s">
        <v>3523</v>
      </c>
      <c r="T1338" t="s">
        <v>4156</v>
      </c>
      <c r="U1338" t="s">
        <v>4168</v>
      </c>
      <c r="V1338" t="s">
        <v>273</v>
      </c>
      <c r="W1338">
        <v>1257.77</v>
      </c>
      <c r="X1338" t="s">
        <v>4196</v>
      </c>
      <c r="Y1338" t="s">
        <v>4206</v>
      </c>
      <c r="Z1338" t="s">
        <v>5337</v>
      </c>
      <c r="AB1338" t="s">
        <v>6648</v>
      </c>
      <c r="AC1338">
        <v>96</v>
      </c>
      <c r="AD1338" t="s">
        <v>6772</v>
      </c>
      <c r="AE1338" t="s">
        <v>6791</v>
      </c>
      <c r="AF1338">
        <v>13</v>
      </c>
      <c r="AG1338">
        <v>1</v>
      </c>
      <c r="AH1338">
        <v>0</v>
      </c>
      <c r="AI1338">
        <v>281.18</v>
      </c>
      <c r="AL1338" t="s">
        <v>6801</v>
      </c>
      <c r="AM1338">
        <v>35120</v>
      </c>
    </row>
    <row r="1339" spans="1:44">
      <c r="A1339" s="1">
        <f>HYPERLINK("https://lsnyc.legalserver.org/matter/dynamic-profile/view/1911953","19-1911953")</f>
        <v>0</v>
      </c>
      <c r="B1339" t="s">
        <v>93</v>
      </c>
      <c r="C1339" t="s">
        <v>251</v>
      </c>
      <c r="D1339" t="s">
        <v>251</v>
      </c>
      <c r="E1339" t="s">
        <v>1186</v>
      </c>
      <c r="F1339" t="s">
        <v>2060</v>
      </c>
      <c r="G1339" t="s">
        <v>3058</v>
      </c>
      <c r="H1339">
        <v>31</v>
      </c>
      <c r="I1339" t="s">
        <v>3495</v>
      </c>
      <c r="J1339">
        <v>10040</v>
      </c>
      <c r="K1339" t="s">
        <v>3522</v>
      </c>
      <c r="L1339" t="s">
        <v>3525</v>
      </c>
      <c r="O1339" t="s">
        <v>4132</v>
      </c>
      <c r="P1339" t="s">
        <v>4139</v>
      </c>
      <c r="Q1339" t="s">
        <v>4147</v>
      </c>
      <c r="R1339" t="s">
        <v>3523</v>
      </c>
      <c r="T1339" t="s">
        <v>4156</v>
      </c>
      <c r="V1339" t="s">
        <v>251</v>
      </c>
      <c r="W1339">
        <v>1276.33</v>
      </c>
      <c r="X1339" t="s">
        <v>4196</v>
      </c>
      <c r="Y1339" t="s">
        <v>4201</v>
      </c>
      <c r="Z1339" t="s">
        <v>5338</v>
      </c>
      <c r="AB1339" t="s">
        <v>6649</v>
      </c>
      <c r="AC1339">
        <v>40</v>
      </c>
      <c r="AD1339" t="s">
        <v>6772</v>
      </c>
      <c r="AE1339" t="s">
        <v>3526</v>
      </c>
      <c r="AF1339">
        <v>32</v>
      </c>
      <c r="AG1339">
        <v>2</v>
      </c>
      <c r="AH1339">
        <v>0</v>
      </c>
      <c r="AI1339">
        <v>282.44</v>
      </c>
      <c r="AL1339" t="s">
        <v>6802</v>
      </c>
      <c r="AM1339">
        <v>47760</v>
      </c>
    </row>
    <row r="1340" spans="1:44">
      <c r="A1340" s="1">
        <f>HYPERLINK("https://lsnyc.legalserver.org/matter/dynamic-profile/view/1915272","19-1915272")</f>
        <v>0</v>
      </c>
      <c r="B1340" t="s">
        <v>65</v>
      </c>
      <c r="C1340" t="s">
        <v>204</v>
      </c>
      <c r="E1340" t="s">
        <v>572</v>
      </c>
      <c r="F1340" t="s">
        <v>2061</v>
      </c>
      <c r="G1340" t="s">
        <v>2292</v>
      </c>
      <c r="H1340" t="s">
        <v>3454</v>
      </c>
      <c r="I1340" t="s">
        <v>3490</v>
      </c>
      <c r="J1340">
        <v>11226</v>
      </c>
      <c r="K1340" t="s">
        <v>3522</v>
      </c>
      <c r="L1340" t="s">
        <v>3525</v>
      </c>
      <c r="M1340" t="s">
        <v>4078</v>
      </c>
      <c r="N1340" t="s">
        <v>4112</v>
      </c>
      <c r="O1340" t="s">
        <v>4133</v>
      </c>
      <c r="Q1340" t="s">
        <v>4147</v>
      </c>
      <c r="R1340" t="s">
        <v>3522</v>
      </c>
      <c r="T1340" t="s">
        <v>4156</v>
      </c>
      <c r="V1340" t="s">
        <v>219</v>
      </c>
      <c r="W1340">
        <v>1632</v>
      </c>
      <c r="X1340" t="s">
        <v>4193</v>
      </c>
      <c r="Y1340" t="s">
        <v>4201</v>
      </c>
      <c r="Z1340" t="s">
        <v>5339</v>
      </c>
      <c r="AB1340" t="s">
        <v>6650</v>
      </c>
      <c r="AC1340">
        <v>6</v>
      </c>
      <c r="AD1340" t="s">
        <v>6772</v>
      </c>
      <c r="AF1340">
        <v>2</v>
      </c>
      <c r="AG1340">
        <v>2</v>
      </c>
      <c r="AH1340">
        <v>0</v>
      </c>
      <c r="AI1340">
        <v>284.45</v>
      </c>
      <c r="AL1340" t="s">
        <v>6801</v>
      </c>
      <c r="AM1340">
        <v>48100</v>
      </c>
    </row>
    <row r="1341" spans="1:44">
      <c r="A1341" s="1">
        <f>HYPERLINK("https://lsnyc.legalserver.org/matter/dynamic-profile/view/1901618","19-1901618")</f>
        <v>0</v>
      </c>
      <c r="B1341" t="s">
        <v>69</v>
      </c>
      <c r="C1341" t="s">
        <v>337</v>
      </c>
      <c r="E1341" t="s">
        <v>526</v>
      </c>
      <c r="F1341" t="s">
        <v>2062</v>
      </c>
      <c r="G1341" t="s">
        <v>3059</v>
      </c>
      <c r="H1341" t="s">
        <v>3170</v>
      </c>
      <c r="I1341" t="s">
        <v>3490</v>
      </c>
      <c r="J1341">
        <v>11233</v>
      </c>
      <c r="K1341" t="s">
        <v>3522</v>
      </c>
      <c r="L1341" t="s">
        <v>3525</v>
      </c>
      <c r="M1341" t="s">
        <v>4079</v>
      </c>
      <c r="N1341" t="s">
        <v>4109</v>
      </c>
      <c r="O1341" t="s">
        <v>4134</v>
      </c>
      <c r="Q1341" t="s">
        <v>4147</v>
      </c>
      <c r="R1341" t="s">
        <v>3523</v>
      </c>
      <c r="T1341" t="s">
        <v>4156</v>
      </c>
      <c r="U1341" t="s">
        <v>4168</v>
      </c>
      <c r="V1341" t="s">
        <v>293</v>
      </c>
      <c r="W1341">
        <v>1585</v>
      </c>
      <c r="X1341" t="s">
        <v>4193</v>
      </c>
      <c r="Y1341" t="s">
        <v>4211</v>
      </c>
      <c r="Z1341" t="s">
        <v>5340</v>
      </c>
      <c r="AA1341" t="s">
        <v>3526</v>
      </c>
      <c r="AB1341" t="s">
        <v>6651</v>
      </c>
      <c r="AC1341">
        <v>8</v>
      </c>
      <c r="AD1341" t="s">
        <v>6772</v>
      </c>
      <c r="AE1341" t="s">
        <v>3526</v>
      </c>
      <c r="AF1341">
        <v>5</v>
      </c>
      <c r="AG1341">
        <v>2</v>
      </c>
      <c r="AH1341">
        <v>0</v>
      </c>
      <c r="AI1341">
        <v>285.04</v>
      </c>
      <c r="AL1341" t="s">
        <v>6801</v>
      </c>
      <c r="AM1341">
        <v>48200</v>
      </c>
      <c r="AN1341" t="s">
        <v>6890</v>
      </c>
    </row>
    <row r="1342" spans="1:44">
      <c r="A1342" s="1">
        <f>HYPERLINK("https://lsnyc.legalserver.org/matter/dynamic-profile/view/1906532","19-1906532")</f>
        <v>0</v>
      </c>
      <c r="B1342" t="s">
        <v>60</v>
      </c>
      <c r="C1342" t="s">
        <v>320</v>
      </c>
      <c r="D1342" t="s">
        <v>233</v>
      </c>
      <c r="E1342" t="s">
        <v>1187</v>
      </c>
      <c r="F1342" t="s">
        <v>2063</v>
      </c>
      <c r="G1342" t="s">
        <v>3060</v>
      </c>
      <c r="H1342" t="s">
        <v>3455</v>
      </c>
      <c r="I1342" t="s">
        <v>3490</v>
      </c>
      <c r="J1342">
        <v>11207</v>
      </c>
      <c r="K1342" t="s">
        <v>3522</v>
      </c>
      <c r="L1342" t="s">
        <v>3525</v>
      </c>
      <c r="M1342" t="s">
        <v>4080</v>
      </c>
      <c r="N1342" t="s">
        <v>4109</v>
      </c>
      <c r="O1342" t="s">
        <v>4132</v>
      </c>
      <c r="P1342" t="s">
        <v>4139</v>
      </c>
      <c r="Q1342" t="s">
        <v>4147</v>
      </c>
      <c r="R1342" t="s">
        <v>3523</v>
      </c>
      <c r="T1342" t="s">
        <v>4156</v>
      </c>
      <c r="U1342" t="s">
        <v>4169</v>
      </c>
      <c r="V1342" t="s">
        <v>185</v>
      </c>
      <c r="W1342">
        <v>1500</v>
      </c>
      <c r="X1342" t="s">
        <v>4193</v>
      </c>
      <c r="Y1342" t="s">
        <v>4200</v>
      </c>
      <c r="Z1342" t="s">
        <v>5341</v>
      </c>
      <c r="AA1342" t="s">
        <v>3554</v>
      </c>
      <c r="AB1342" t="s">
        <v>6652</v>
      </c>
      <c r="AC1342">
        <v>18</v>
      </c>
      <c r="AD1342" t="s">
        <v>6772</v>
      </c>
      <c r="AE1342" t="s">
        <v>3526</v>
      </c>
      <c r="AF1342">
        <v>1</v>
      </c>
      <c r="AG1342">
        <v>1</v>
      </c>
      <c r="AH1342">
        <v>1</v>
      </c>
      <c r="AI1342">
        <v>286.6</v>
      </c>
      <c r="AL1342" t="s">
        <v>6801</v>
      </c>
      <c r="AM1342">
        <v>48464</v>
      </c>
      <c r="AR1342" t="s">
        <v>7018</v>
      </c>
    </row>
    <row r="1343" spans="1:44">
      <c r="A1343" s="1">
        <f>HYPERLINK("https://lsnyc.legalserver.org/matter/dynamic-profile/view/1905948","19-1905948")</f>
        <v>0</v>
      </c>
      <c r="B1343" t="s">
        <v>147</v>
      </c>
      <c r="C1343" t="s">
        <v>285</v>
      </c>
      <c r="E1343" t="s">
        <v>1188</v>
      </c>
      <c r="F1343" t="s">
        <v>926</v>
      </c>
      <c r="G1343" t="s">
        <v>2633</v>
      </c>
      <c r="H1343" t="s">
        <v>3456</v>
      </c>
      <c r="I1343" t="s">
        <v>3490</v>
      </c>
      <c r="J1343">
        <v>11213</v>
      </c>
      <c r="K1343" t="s">
        <v>3522</v>
      </c>
      <c r="L1343" t="s">
        <v>3525</v>
      </c>
      <c r="M1343" t="s">
        <v>3553</v>
      </c>
      <c r="N1343" t="s">
        <v>3554</v>
      </c>
      <c r="O1343" t="s">
        <v>4136</v>
      </c>
      <c r="Q1343" t="s">
        <v>4147</v>
      </c>
      <c r="R1343" t="s">
        <v>3522</v>
      </c>
      <c r="T1343" t="s">
        <v>4156</v>
      </c>
      <c r="U1343" t="s">
        <v>4168</v>
      </c>
      <c r="V1343" t="s">
        <v>206</v>
      </c>
      <c r="W1343">
        <v>1025.26</v>
      </c>
      <c r="X1343" t="s">
        <v>4193</v>
      </c>
      <c r="Y1343" t="s">
        <v>4206</v>
      </c>
      <c r="Z1343" t="s">
        <v>5342</v>
      </c>
      <c r="AA1343" t="s">
        <v>3562</v>
      </c>
      <c r="AC1343">
        <v>34</v>
      </c>
      <c r="AD1343" t="s">
        <v>6772</v>
      </c>
      <c r="AE1343" t="s">
        <v>3526</v>
      </c>
      <c r="AF1343">
        <v>9</v>
      </c>
      <c r="AG1343">
        <v>1</v>
      </c>
      <c r="AH1343">
        <v>0</v>
      </c>
      <c r="AI1343">
        <v>286.63</v>
      </c>
      <c r="AL1343" t="s">
        <v>6801</v>
      </c>
      <c r="AM1343">
        <v>35800</v>
      </c>
    </row>
    <row r="1344" spans="1:44">
      <c r="A1344" s="1">
        <f>HYPERLINK("https://lsnyc.legalserver.org/matter/dynamic-profile/view/1916214","19-1916214")</f>
        <v>0</v>
      </c>
      <c r="B1344" t="s">
        <v>86</v>
      </c>
      <c r="C1344" t="s">
        <v>208</v>
      </c>
      <c r="E1344" t="s">
        <v>850</v>
      </c>
      <c r="F1344" t="s">
        <v>2064</v>
      </c>
      <c r="G1344" t="s">
        <v>3061</v>
      </c>
      <c r="H1344" t="s">
        <v>3147</v>
      </c>
      <c r="I1344" t="s">
        <v>3495</v>
      </c>
      <c r="J1344">
        <v>10128</v>
      </c>
      <c r="K1344" t="s">
        <v>3522</v>
      </c>
      <c r="L1344" t="s">
        <v>3525</v>
      </c>
      <c r="O1344" t="s">
        <v>4136</v>
      </c>
      <c r="Q1344" t="s">
        <v>4147</v>
      </c>
      <c r="R1344" t="s">
        <v>3523</v>
      </c>
      <c r="T1344" t="s">
        <v>4156</v>
      </c>
      <c r="V1344" t="s">
        <v>208</v>
      </c>
      <c r="W1344">
        <v>14</v>
      </c>
      <c r="X1344" t="s">
        <v>4196</v>
      </c>
      <c r="Y1344" t="s">
        <v>4198</v>
      </c>
      <c r="Z1344" t="s">
        <v>5343</v>
      </c>
      <c r="AB1344" t="s">
        <v>6653</v>
      </c>
      <c r="AC1344">
        <v>143</v>
      </c>
      <c r="AD1344" t="s">
        <v>6772</v>
      </c>
      <c r="AE1344" t="s">
        <v>3526</v>
      </c>
      <c r="AF1344">
        <v>40</v>
      </c>
      <c r="AG1344">
        <v>2</v>
      </c>
      <c r="AH1344">
        <v>0</v>
      </c>
      <c r="AI1344">
        <v>287.4</v>
      </c>
      <c r="AL1344" t="s">
        <v>6801</v>
      </c>
      <c r="AM1344">
        <v>48600</v>
      </c>
    </row>
    <row r="1345" spans="1:44">
      <c r="A1345" s="1">
        <f>HYPERLINK("https://lsnyc.legalserver.org/matter/dynamic-profile/view/1914306","19-1914306")</f>
        <v>0</v>
      </c>
      <c r="B1345" t="s">
        <v>167</v>
      </c>
      <c r="C1345" t="s">
        <v>245</v>
      </c>
      <c r="D1345" t="s">
        <v>195</v>
      </c>
      <c r="E1345" t="s">
        <v>788</v>
      </c>
      <c r="F1345" t="s">
        <v>2065</v>
      </c>
      <c r="G1345" t="s">
        <v>3062</v>
      </c>
      <c r="H1345" t="s">
        <v>3129</v>
      </c>
      <c r="I1345" t="s">
        <v>3490</v>
      </c>
      <c r="J1345">
        <v>11216</v>
      </c>
      <c r="K1345" t="s">
        <v>3523</v>
      </c>
      <c r="L1345" t="s">
        <v>3525</v>
      </c>
      <c r="O1345" t="s">
        <v>4132</v>
      </c>
      <c r="P1345" t="s">
        <v>4139</v>
      </c>
      <c r="Q1345" t="s">
        <v>4147</v>
      </c>
      <c r="T1345" t="s">
        <v>4166</v>
      </c>
      <c r="V1345" t="s">
        <v>245</v>
      </c>
      <c r="W1345">
        <v>0</v>
      </c>
      <c r="X1345" t="s">
        <v>4193</v>
      </c>
      <c r="Z1345" t="s">
        <v>5344</v>
      </c>
      <c r="AA1345" t="s">
        <v>3683</v>
      </c>
      <c r="AB1345" t="s">
        <v>6654</v>
      </c>
      <c r="AC1345">
        <v>0</v>
      </c>
      <c r="AF1345">
        <v>0</v>
      </c>
      <c r="AG1345">
        <v>1</v>
      </c>
      <c r="AH1345">
        <v>0</v>
      </c>
      <c r="AI1345">
        <v>288.23</v>
      </c>
      <c r="AJ1345" t="s">
        <v>245</v>
      </c>
      <c r="AK1345" t="s">
        <v>6799</v>
      </c>
      <c r="AL1345" t="s">
        <v>6801</v>
      </c>
      <c r="AM1345">
        <v>36000</v>
      </c>
    </row>
    <row r="1346" spans="1:44">
      <c r="A1346" s="1">
        <f>HYPERLINK("https://lsnyc.legalserver.org/matter/dynamic-profile/view/1895639","19-1895639")</f>
        <v>0</v>
      </c>
      <c r="B1346" t="s">
        <v>55</v>
      </c>
      <c r="C1346" t="s">
        <v>349</v>
      </c>
      <c r="D1346" t="s">
        <v>303</v>
      </c>
      <c r="E1346" t="s">
        <v>1189</v>
      </c>
      <c r="F1346" t="s">
        <v>2066</v>
      </c>
      <c r="G1346" t="s">
        <v>3063</v>
      </c>
      <c r="H1346" t="s">
        <v>3158</v>
      </c>
      <c r="I1346" t="s">
        <v>3490</v>
      </c>
      <c r="J1346">
        <v>11233</v>
      </c>
      <c r="K1346" t="s">
        <v>3522</v>
      </c>
      <c r="L1346" t="s">
        <v>3525</v>
      </c>
      <c r="M1346" t="s">
        <v>4081</v>
      </c>
      <c r="N1346" t="s">
        <v>4109</v>
      </c>
      <c r="O1346" t="s">
        <v>4134</v>
      </c>
      <c r="P1346" t="s">
        <v>4141</v>
      </c>
      <c r="Q1346" t="s">
        <v>4147</v>
      </c>
      <c r="R1346" t="s">
        <v>3523</v>
      </c>
      <c r="T1346" t="s">
        <v>4156</v>
      </c>
      <c r="U1346" t="s">
        <v>4167</v>
      </c>
      <c r="V1346" t="s">
        <v>241</v>
      </c>
      <c r="W1346">
        <v>1300</v>
      </c>
      <c r="X1346" t="s">
        <v>4193</v>
      </c>
      <c r="Y1346" t="s">
        <v>4198</v>
      </c>
      <c r="Z1346" t="s">
        <v>5345</v>
      </c>
      <c r="AB1346" t="s">
        <v>6655</v>
      </c>
      <c r="AC1346">
        <v>16</v>
      </c>
      <c r="AD1346" t="s">
        <v>6772</v>
      </c>
      <c r="AE1346" t="s">
        <v>3526</v>
      </c>
      <c r="AF1346">
        <v>22</v>
      </c>
      <c r="AG1346">
        <v>1</v>
      </c>
      <c r="AH1346">
        <v>0</v>
      </c>
      <c r="AI1346">
        <v>291.22</v>
      </c>
      <c r="AL1346" t="s">
        <v>6801</v>
      </c>
      <c r="AM1346">
        <v>36374</v>
      </c>
      <c r="AO1346" t="s">
        <v>6915</v>
      </c>
      <c r="AP1346" t="s">
        <v>6924</v>
      </c>
      <c r="AQ1346" t="s">
        <v>6945</v>
      </c>
      <c r="AR1346" t="s">
        <v>7019</v>
      </c>
    </row>
    <row r="1347" spans="1:44">
      <c r="A1347" s="1">
        <f>HYPERLINK("https://lsnyc.legalserver.org/matter/dynamic-profile/view/1910919","19-1910919")</f>
        <v>0</v>
      </c>
      <c r="B1347" t="s">
        <v>160</v>
      </c>
      <c r="C1347" t="s">
        <v>198</v>
      </c>
      <c r="E1347" t="s">
        <v>1190</v>
      </c>
      <c r="F1347" t="s">
        <v>2067</v>
      </c>
      <c r="G1347" t="s">
        <v>3064</v>
      </c>
      <c r="H1347" t="s">
        <v>3137</v>
      </c>
      <c r="I1347" t="s">
        <v>3490</v>
      </c>
      <c r="J1347">
        <v>11208</v>
      </c>
      <c r="K1347" t="s">
        <v>3522</v>
      </c>
      <c r="L1347" t="s">
        <v>3525</v>
      </c>
      <c r="M1347" t="s">
        <v>4082</v>
      </c>
      <c r="N1347" t="s">
        <v>4107</v>
      </c>
      <c r="O1347" t="s">
        <v>4135</v>
      </c>
      <c r="Q1347" t="s">
        <v>4147</v>
      </c>
      <c r="R1347" t="s">
        <v>3523</v>
      </c>
      <c r="T1347" t="s">
        <v>4156</v>
      </c>
      <c r="V1347" t="s">
        <v>253</v>
      </c>
      <c r="W1347">
        <v>1300</v>
      </c>
      <c r="X1347" t="s">
        <v>4193</v>
      </c>
      <c r="Y1347" t="s">
        <v>4202</v>
      </c>
      <c r="Z1347" t="s">
        <v>5346</v>
      </c>
      <c r="AA1347" t="s">
        <v>3526</v>
      </c>
      <c r="AB1347" t="s">
        <v>6656</v>
      </c>
      <c r="AC1347">
        <v>2</v>
      </c>
      <c r="AD1347" t="s">
        <v>6771</v>
      </c>
      <c r="AE1347" t="s">
        <v>3526</v>
      </c>
      <c r="AF1347">
        <v>1</v>
      </c>
      <c r="AG1347">
        <v>1</v>
      </c>
      <c r="AH1347">
        <v>0</v>
      </c>
      <c r="AI1347">
        <v>291.43</v>
      </c>
      <c r="AL1347" t="s">
        <v>6801</v>
      </c>
      <c r="AM1347">
        <v>36400</v>
      </c>
    </row>
    <row r="1348" spans="1:44">
      <c r="A1348" s="1">
        <f>HYPERLINK("https://lsnyc.legalserver.org/matter/dynamic-profile/view/1913394","19-1913394")</f>
        <v>0</v>
      </c>
      <c r="B1348" t="s">
        <v>90</v>
      </c>
      <c r="C1348" t="s">
        <v>192</v>
      </c>
      <c r="E1348" t="s">
        <v>818</v>
      </c>
      <c r="F1348" t="s">
        <v>1379</v>
      </c>
      <c r="G1348" t="s">
        <v>2847</v>
      </c>
      <c r="H1348">
        <v>42</v>
      </c>
      <c r="I1348" t="s">
        <v>3495</v>
      </c>
      <c r="J1348">
        <v>10034</v>
      </c>
      <c r="K1348" t="s">
        <v>3522</v>
      </c>
      <c r="L1348" t="s">
        <v>3525</v>
      </c>
      <c r="N1348" t="s">
        <v>4110</v>
      </c>
      <c r="O1348" t="s">
        <v>4137</v>
      </c>
      <c r="Q1348" t="s">
        <v>4147</v>
      </c>
      <c r="R1348" t="s">
        <v>3522</v>
      </c>
      <c r="T1348" t="s">
        <v>4156</v>
      </c>
      <c r="V1348" t="s">
        <v>192</v>
      </c>
      <c r="W1348">
        <v>937.48</v>
      </c>
      <c r="X1348" t="s">
        <v>4196</v>
      </c>
      <c r="Y1348" t="s">
        <v>4201</v>
      </c>
      <c r="Z1348" t="s">
        <v>5347</v>
      </c>
      <c r="AB1348" t="s">
        <v>6657</v>
      </c>
      <c r="AC1348">
        <v>49</v>
      </c>
      <c r="AD1348" t="s">
        <v>6772</v>
      </c>
      <c r="AE1348" t="s">
        <v>3526</v>
      </c>
      <c r="AF1348">
        <v>45</v>
      </c>
      <c r="AG1348">
        <v>1</v>
      </c>
      <c r="AH1348">
        <v>0</v>
      </c>
      <c r="AI1348">
        <v>291.43</v>
      </c>
      <c r="AL1348" t="s">
        <v>6801</v>
      </c>
      <c r="AM1348">
        <v>36400</v>
      </c>
    </row>
    <row r="1349" spans="1:44">
      <c r="A1349" s="1">
        <f>HYPERLINK("https://lsnyc.legalserver.org/matter/dynamic-profile/view/1915366","19-1915366")</f>
        <v>0</v>
      </c>
      <c r="B1349" t="s">
        <v>91</v>
      </c>
      <c r="C1349" t="s">
        <v>260</v>
      </c>
      <c r="D1349" t="s">
        <v>208</v>
      </c>
      <c r="E1349" t="s">
        <v>517</v>
      </c>
      <c r="F1349" t="s">
        <v>2068</v>
      </c>
      <c r="G1349" t="s">
        <v>2495</v>
      </c>
      <c r="H1349" t="s">
        <v>3253</v>
      </c>
      <c r="I1349" t="s">
        <v>3495</v>
      </c>
      <c r="J1349">
        <v>10029</v>
      </c>
      <c r="K1349" t="s">
        <v>3522</v>
      </c>
      <c r="L1349" t="s">
        <v>3525</v>
      </c>
      <c r="N1349" t="s">
        <v>4110</v>
      </c>
      <c r="O1349" t="s">
        <v>4137</v>
      </c>
      <c r="P1349" t="s">
        <v>4144</v>
      </c>
      <c r="Q1349" t="s">
        <v>4147</v>
      </c>
      <c r="R1349" t="s">
        <v>3522</v>
      </c>
      <c r="T1349" t="s">
        <v>4156</v>
      </c>
      <c r="U1349" t="s">
        <v>4168</v>
      </c>
      <c r="V1349" t="s">
        <v>260</v>
      </c>
      <c r="W1349">
        <v>1160</v>
      </c>
      <c r="X1349" t="s">
        <v>4196</v>
      </c>
      <c r="Y1349" t="s">
        <v>4201</v>
      </c>
      <c r="Z1349" t="s">
        <v>5348</v>
      </c>
      <c r="AB1349" t="s">
        <v>6658</v>
      </c>
      <c r="AC1349">
        <v>11</v>
      </c>
      <c r="AD1349" t="s">
        <v>6772</v>
      </c>
      <c r="AE1349" t="s">
        <v>3526</v>
      </c>
      <c r="AF1349">
        <v>22</v>
      </c>
      <c r="AG1349">
        <v>5</v>
      </c>
      <c r="AH1349">
        <v>0</v>
      </c>
      <c r="AI1349">
        <v>293.01</v>
      </c>
      <c r="AL1349" t="s">
        <v>6801</v>
      </c>
      <c r="AM1349">
        <v>88400</v>
      </c>
      <c r="AO1349" t="s">
        <v>6920</v>
      </c>
      <c r="AQ1349" t="s">
        <v>6945</v>
      </c>
      <c r="AR1349" t="s">
        <v>6978</v>
      </c>
    </row>
    <row r="1350" spans="1:44">
      <c r="A1350" s="1">
        <f>HYPERLINK("https://lsnyc.legalserver.org/matter/dynamic-profile/view/1913064","19-1913064")</f>
        <v>0</v>
      </c>
      <c r="B1350" t="s">
        <v>49</v>
      </c>
      <c r="C1350" t="s">
        <v>314</v>
      </c>
      <c r="E1350" t="s">
        <v>586</v>
      </c>
      <c r="F1350" t="s">
        <v>2069</v>
      </c>
      <c r="G1350" t="s">
        <v>2182</v>
      </c>
      <c r="H1350" t="s">
        <v>3457</v>
      </c>
      <c r="I1350" t="s">
        <v>3487</v>
      </c>
      <c r="J1350">
        <v>11368</v>
      </c>
      <c r="K1350" t="s">
        <v>3522</v>
      </c>
      <c r="L1350" t="s">
        <v>3525</v>
      </c>
      <c r="M1350" t="s">
        <v>3545</v>
      </c>
      <c r="N1350" t="s">
        <v>4110</v>
      </c>
      <c r="O1350" t="s">
        <v>4137</v>
      </c>
      <c r="Q1350" t="s">
        <v>4147</v>
      </c>
      <c r="R1350" t="s">
        <v>3522</v>
      </c>
      <c r="T1350" t="s">
        <v>4156</v>
      </c>
      <c r="U1350" t="s">
        <v>4168</v>
      </c>
      <c r="V1350" t="s">
        <v>314</v>
      </c>
      <c r="W1350">
        <v>994</v>
      </c>
      <c r="X1350" t="s">
        <v>4192</v>
      </c>
      <c r="Y1350" t="s">
        <v>4198</v>
      </c>
      <c r="Z1350" t="s">
        <v>5349</v>
      </c>
      <c r="AA1350" t="s">
        <v>5482</v>
      </c>
      <c r="AB1350" t="s">
        <v>6659</v>
      </c>
      <c r="AC1350">
        <v>237</v>
      </c>
      <c r="AD1350" t="s">
        <v>6772</v>
      </c>
      <c r="AE1350" t="s">
        <v>6791</v>
      </c>
      <c r="AF1350">
        <v>15</v>
      </c>
      <c r="AG1350">
        <v>1</v>
      </c>
      <c r="AH1350">
        <v>1</v>
      </c>
      <c r="AI1350">
        <v>293.32</v>
      </c>
      <c r="AL1350" t="s">
        <v>6801</v>
      </c>
      <c r="AM1350">
        <v>49600</v>
      </c>
      <c r="AP1350" t="s">
        <v>4200</v>
      </c>
    </row>
    <row r="1351" spans="1:44">
      <c r="A1351" s="1">
        <f>HYPERLINK("https://lsnyc.legalserver.org/matter/dynamic-profile/view/1914969","19-1914969")</f>
        <v>0</v>
      </c>
      <c r="B1351" t="s">
        <v>79</v>
      </c>
      <c r="C1351" t="s">
        <v>219</v>
      </c>
      <c r="E1351" t="s">
        <v>1191</v>
      </c>
      <c r="F1351" t="s">
        <v>1295</v>
      </c>
      <c r="G1351" t="s">
        <v>3065</v>
      </c>
      <c r="H1351" t="s">
        <v>3253</v>
      </c>
      <c r="I1351" t="s">
        <v>3493</v>
      </c>
      <c r="J1351">
        <v>10459</v>
      </c>
      <c r="K1351" t="s">
        <v>3522</v>
      </c>
      <c r="Q1351" t="s">
        <v>4147</v>
      </c>
      <c r="R1351" t="s">
        <v>3523</v>
      </c>
      <c r="T1351" t="s">
        <v>4156</v>
      </c>
      <c r="V1351" t="s">
        <v>219</v>
      </c>
      <c r="W1351">
        <v>1115.94</v>
      </c>
      <c r="X1351" t="s">
        <v>4194</v>
      </c>
      <c r="Y1351" t="s">
        <v>4206</v>
      </c>
      <c r="Z1351" t="s">
        <v>5350</v>
      </c>
      <c r="AB1351" t="s">
        <v>6660</v>
      </c>
      <c r="AC1351">
        <v>370</v>
      </c>
      <c r="AD1351" t="s">
        <v>6772</v>
      </c>
      <c r="AE1351" t="s">
        <v>3526</v>
      </c>
      <c r="AF1351">
        <v>8</v>
      </c>
      <c r="AG1351">
        <v>1</v>
      </c>
      <c r="AH1351">
        <v>1</v>
      </c>
      <c r="AI1351">
        <v>295.68</v>
      </c>
      <c r="AL1351" t="s">
        <v>6801</v>
      </c>
      <c r="AM1351">
        <v>50000</v>
      </c>
    </row>
    <row r="1352" spans="1:44">
      <c r="A1352" s="1">
        <f>HYPERLINK("https://lsnyc.legalserver.org/matter/dynamic-profile/view/1915774","19-1915774")</f>
        <v>0</v>
      </c>
      <c r="B1352" t="s">
        <v>91</v>
      </c>
      <c r="C1352" t="s">
        <v>248</v>
      </c>
      <c r="D1352" t="s">
        <v>242</v>
      </c>
      <c r="E1352" t="s">
        <v>415</v>
      </c>
      <c r="F1352" t="s">
        <v>2070</v>
      </c>
      <c r="G1352" t="s">
        <v>2250</v>
      </c>
      <c r="H1352" t="s">
        <v>3158</v>
      </c>
      <c r="I1352" t="s">
        <v>3495</v>
      </c>
      <c r="J1352">
        <v>10035</v>
      </c>
      <c r="K1352" t="s">
        <v>3522</v>
      </c>
      <c r="L1352" t="s">
        <v>3525</v>
      </c>
      <c r="N1352" t="s">
        <v>3554</v>
      </c>
      <c r="O1352" t="s">
        <v>4135</v>
      </c>
      <c r="P1352" t="s">
        <v>4142</v>
      </c>
      <c r="Q1352" t="s">
        <v>4147</v>
      </c>
      <c r="R1352" t="s">
        <v>3522</v>
      </c>
      <c r="T1352" t="s">
        <v>4156</v>
      </c>
      <c r="U1352" t="s">
        <v>4168</v>
      </c>
      <c r="V1352" t="s">
        <v>248</v>
      </c>
      <c r="W1352">
        <v>2150</v>
      </c>
      <c r="X1352" t="s">
        <v>4196</v>
      </c>
      <c r="Y1352" t="s">
        <v>4198</v>
      </c>
      <c r="Z1352" t="s">
        <v>5351</v>
      </c>
      <c r="AB1352" t="s">
        <v>6661</v>
      </c>
      <c r="AC1352">
        <v>35</v>
      </c>
      <c r="AD1352" t="s">
        <v>6772</v>
      </c>
      <c r="AE1352" t="s">
        <v>3526</v>
      </c>
      <c r="AF1352">
        <v>2</v>
      </c>
      <c r="AG1352">
        <v>2</v>
      </c>
      <c r="AH1352">
        <v>0</v>
      </c>
      <c r="AI1352">
        <v>296.63</v>
      </c>
      <c r="AL1352" t="s">
        <v>6801</v>
      </c>
      <c r="AM1352">
        <v>50160</v>
      </c>
    </row>
    <row r="1353" spans="1:44">
      <c r="A1353" s="1">
        <f>HYPERLINK("https://lsnyc.legalserver.org/matter/dynamic-profile/view/1916780","19-1916780")</f>
        <v>0</v>
      </c>
      <c r="B1353" t="s">
        <v>91</v>
      </c>
      <c r="C1353" t="s">
        <v>195</v>
      </c>
      <c r="E1353" t="s">
        <v>415</v>
      </c>
      <c r="F1353" t="s">
        <v>2070</v>
      </c>
      <c r="G1353" t="s">
        <v>2250</v>
      </c>
      <c r="H1353" t="s">
        <v>3158</v>
      </c>
      <c r="I1353" t="s">
        <v>3495</v>
      </c>
      <c r="J1353">
        <v>10035</v>
      </c>
      <c r="K1353" t="s">
        <v>3522</v>
      </c>
      <c r="L1353" t="s">
        <v>3525</v>
      </c>
      <c r="N1353" t="s">
        <v>3554</v>
      </c>
      <c r="O1353" t="s">
        <v>4135</v>
      </c>
      <c r="Q1353" t="s">
        <v>4147</v>
      </c>
      <c r="R1353" t="s">
        <v>3522</v>
      </c>
      <c r="T1353" t="s">
        <v>4156</v>
      </c>
      <c r="U1353" t="s">
        <v>4168</v>
      </c>
      <c r="V1353" t="s">
        <v>195</v>
      </c>
      <c r="W1353">
        <v>2150</v>
      </c>
      <c r="X1353" t="s">
        <v>4196</v>
      </c>
      <c r="Y1353" t="s">
        <v>4198</v>
      </c>
      <c r="Z1353" t="s">
        <v>5351</v>
      </c>
      <c r="AB1353" t="s">
        <v>6661</v>
      </c>
      <c r="AC1353">
        <v>35</v>
      </c>
      <c r="AD1353" t="s">
        <v>6772</v>
      </c>
      <c r="AE1353" t="s">
        <v>3526</v>
      </c>
      <c r="AF1353">
        <v>2</v>
      </c>
      <c r="AG1353">
        <v>2</v>
      </c>
      <c r="AH1353">
        <v>0</v>
      </c>
      <c r="AI1353">
        <v>296.63</v>
      </c>
      <c r="AL1353" t="s">
        <v>6801</v>
      </c>
      <c r="AM1353">
        <v>50160</v>
      </c>
    </row>
    <row r="1354" spans="1:44">
      <c r="A1354" s="1">
        <f>HYPERLINK("https://lsnyc.legalserver.org/matter/dynamic-profile/view/1907479","19-1907479")</f>
        <v>0</v>
      </c>
      <c r="B1354" t="s">
        <v>104</v>
      </c>
      <c r="C1354" t="s">
        <v>308</v>
      </c>
      <c r="D1354" t="s">
        <v>299</v>
      </c>
      <c r="E1354" t="s">
        <v>661</v>
      </c>
      <c r="F1354" t="s">
        <v>2071</v>
      </c>
      <c r="G1354" t="s">
        <v>3066</v>
      </c>
      <c r="H1354" t="s">
        <v>3219</v>
      </c>
      <c r="I1354" t="s">
        <v>3493</v>
      </c>
      <c r="J1354">
        <v>10452</v>
      </c>
      <c r="K1354" t="s">
        <v>3522</v>
      </c>
      <c r="L1354" t="s">
        <v>3525</v>
      </c>
      <c r="N1354" t="s">
        <v>4113</v>
      </c>
      <c r="O1354" t="s">
        <v>4132</v>
      </c>
      <c r="P1354" t="s">
        <v>4139</v>
      </c>
      <c r="Q1354" t="s">
        <v>4148</v>
      </c>
      <c r="R1354" t="s">
        <v>3523</v>
      </c>
      <c r="T1354" t="s">
        <v>4156</v>
      </c>
      <c r="V1354" t="s">
        <v>4175</v>
      </c>
      <c r="W1354">
        <v>1400</v>
      </c>
      <c r="X1354" t="s">
        <v>4194</v>
      </c>
      <c r="Y1354" t="s">
        <v>4199</v>
      </c>
      <c r="Z1354" t="s">
        <v>5352</v>
      </c>
      <c r="AB1354" t="s">
        <v>6662</v>
      </c>
      <c r="AC1354">
        <v>0</v>
      </c>
      <c r="AD1354" t="s">
        <v>6772</v>
      </c>
      <c r="AE1354" t="s">
        <v>3526</v>
      </c>
      <c r="AF1354">
        <v>9</v>
      </c>
      <c r="AG1354">
        <v>3</v>
      </c>
      <c r="AH1354">
        <v>0</v>
      </c>
      <c r="AI1354">
        <v>301.23</v>
      </c>
      <c r="AJ1354" t="s">
        <v>6795</v>
      </c>
      <c r="AK1354" t="s">
        <v>6798</v>
      </c>
      <c r="AL1354" t="s">
        <v>6801</v>
      </c>
      <c r="AM1354">
        <v>64252</v>
      </c>
    </row>
    <row r="1355" spans="1:44">
      <c r="A1355" s="1">
        <f>HYPERLINK("https://lsnyc.legalserver.org/matter/dynamic-profile/view/1907581","19-1907581")</f>
        <v>0</v>
      </c>
      <c r="B1355" t="s">
        <v>86</v>
      </c>
      <c r="C1355" t="s">
        <v>239</v>
      </c>
      <c r="D1355" t="s">
        <v>220</v>
      </c>
      <c r="E1355" t="s">
        <v>700</v>
      </c>
      <c r="F1355" t="s">
        <v>2072</v>
      </c>
      <c r="G1355" t="s">
        <v>2366</v>
      </c>
      <c r="H1355" t="s">
        <v>3458</v>
      </c>
      <c r="I1355" t="s">
        <v>3495</v>
      </c>
      <c r="J1355">
        <v>10034</v>
      </c>
      <c r="K1355" t="s">
        <v>3522</v>
      </c>
      <c r="L1355" t="s">
        <v>3525</v>
      </c>
      <c r="N1355" t="s">
        <v>4113</v>
      </c>
      <c r="O1355" t="s">
        <v>4132</v>
      </c>
      <c r="P1355" t="s">
        <v>4139</v>
      </c>
      <c r="Q1355" t="s">
        <v>4147</v>
      </c>
      <c r="R1355" t="s">
        <v>3523</v>
      </c>
      <c r="T1355" t="s">
        <v>4156</v>
      </c>
      <c r="V1355" t="s">
        <v>239</v>
      </c>
      <c r="W1355">
        <v>2700</v>
      </c>
      <c r="X1355" t="s">
        <v>4196</v>
      </c>
      <c r="Y1355" t="s">
        <v>4205</v>
      </c>
      <c r="Z1355" t="s">
        <v>5353</v>
      </c>
      <c r="AC1355">
        <v>69</v>
      </c>
      <c r="AD1355" t="s">
        <v>6772</v>
      </c>
      <c r="AE1355" t="s">
        <v>3526</v>
      </c>
      <c r="AF1355">
        <v>25</v>
      </c>
      <c r="AG1355">
        <v>2</v>
      </c>
      <c r="AH1355">
        <v>0</v>
      </c>
      <c r="AI1355">
        <v>305.14</v>
      </c>
      <c r="AL1355" t="s">
        <v>6819</v>
      </c>
      <c r="AM1355">
        <v>51600</v>
      </c>
    </row>
    <row r="1356" spans="1:44">
      <c r="A1356" s="1">
        <f>HYPERLINK("https://lsnyc.legalserver.org/matter/dynamic-profile/view/1911744","19-1911744")</f>
        <v>0</v>
      </c>
      <c r="B1356" t="s">
        <v>103</v>
      </c>
      <c r="C1356" t="s">
        <v>194</v>
      </c>
      <c r="D1356" t="s">
        <v>194</v>
      </c>
      <c r="E1356" t="s">
        <v>429</v>
      </c>
      <c r="F1356" t="s">
        <v>2073</v>
      </c>
      <c r="G1356" t="s">
        <v>3067</v>
      </c>
      <c r="H1356" t="s">
        <v>3179</v>
      </c>
      <c r="I1356" t="s">
        <v>3493</v>
      </c>
      <c r="J1356">
        <v>10452</v>
      </c>
      <c r="K1356" t="s">
        <v>3522</v>
      </c>
      <c r="L1356" t="s">
        <v>3525</v>
      </c>
      <c r="N1356" t="s">
        <v>4112</v>
      </c>
      <c r="O1356" t="s">
        <v>4135</v>
      </c>
      <c r="P1356" t="s">
        <v>4142</v>
      </c>
      <c r="Q1356" t="s">
        <v>4147</v>
      </c>
      <c r="R1356" t="s">
        <v>3523</v>
      </c>
      <c r="T1356" t="s">
        <v>4156</v>
      </c>
      <c r="V1356" t="s">
        <v>194</v>
      </c>
      <c r="W1356">
        <v>1038</v>
      </c>
      <c r="X1356" t="s">
        <v>4194</v>
      </c>
      <c r="Y1356" t="s">
        <v>4205</v>
      </c>
      <c r="Z1356" t="s">
        <v>5354</v>
      </c>
      <c r="AC1356">
        <v>0</v>
      </c>
      <c r="AD1356" t="s">
        <v>6772</v>
      </c>
      <c r="AF1356">
        <v>17</v>
      </c>
      <c r="AG1356">
        <v>3</v>
      </c>
      <c r="AH1356">
        <v>0</v>
      </c>
      <c r="AI1356">
        <v>305.91</v>
      </c>
      <c r="AL1356" t="s">
        <v>6801</v>
      </c>
      <c r="AM1356">
        <v>65250</v>
      </c>
    </row>
    <row r="1357" spans="1:44">
      <c r="A1357" s="1">
        <f>HYPERLINK("https://lsnyc.legalserver.org/matter/dynamic-profile/view/1888915","19-1888915")</f>
        <v>0</v>
      </c>
      <c r="B1357" t="s">
        <v>69</v>
      </c>
      <c r="C1357" t="s">
        <v>372</v>
      </c>
      <c r="D1357" t="s">
        <v>213</v>
      </c>
      <c r="E1357" t="s">
        <v>473</v>
      </c>
      <c r="F1357" t="s">
        <v>588</v>
      </c>
      <c r="G1357" t="s">
        <v>3068</v>
      </c>
      <c r="H1357">
        <v>14</v>
      </c>
      <c r="I1357" t="s">
        <v>3490</v>
      </c>
      <c r="J1357">
        <v>11212</v>
      </c>
      <c r="K1357" t="s">
        <v>3522</v>
      </c>
      <c r="L1357" t="s">
        <v>3525</v>
      </c>
      <c r="M1357" t="s">
        <v>4083</v>
      </c>
      <c r="N1357" t="s">
        <v>4107</v>
      </c>
      <c r="O1357" t="s">
        <v>4134</v>
      </c>
      <c r="P1357" t="s">
        <v>4141</v>
      </c>
      <c r="Q1357" t="s">
        <v>4147</v>
      </c>
      <c r="R1357" t="s">
        <v>3523</v>
      </c>
      <c r="T1357" t="s">
        <v>4156</v>
      </c>
      <c r="U1357" t="s">
        <v>4168</v>
      </c>
      <c r="V1357" t="s">
        <v>293</v>
      </c>
      <c r="W1357">
        <v>1078</v>
      </c>
      <c r="X1357" t="s">
        <v>4193</v>
      </c>
      <c r="Y1357" t="s">
        <v>4205</v>
      </c>
      <c r="Z1357" t="s">
        <v>5355</v>
      </c>
      <c r="AA1357" t="s">
        <v>3526</v>
      </c>
      <c r="AB1357" t="s">
        <v>6663</v>
      </c>
      <c r="AC1357">
        <v>15</v>
      </c>
      <c r="AD1357" t="s">
        <v>6772</v>
      </c>
      <c r="AE1357" t="s">
        <v>3526</v>
      </c>
      <c r="AF1357">
        <v>8</v>
      </c>
      <c r="AG1357">
        <v>2</v>
      </c>
      <c r="AH1357">
        <v>3</v>
      </c>
      <c r="AI1357">
        <v>308.25</v>
      </c>
      <c r="AL1357" t="s">
        <v>6801</v>
      </c>
      <c r="AM1357">
        <v>93000</v>
      </c>
      <c r="AN1357" t="s">
        <v>6891</v>
      </c>
    </row>
    <row r="1358" spans="1:44">
      <c r="A1358" s="1">
        <f>HYPERLINK("https://lsnyc.legalserver.org/matter/dynamic-profile/view/1913928","19-1913928")</f>
        <v>0</v>
      </c>
      <c r="B1358" t="s">
        <v>171</v>
      </c>
      <c r="C1358" t="s">
        <v>263</v>
      </c>
      <c r="E1358" t="s">
        <v>1192</v>
      </c>
      <c r="F1358" t="s">
        <v>2074</v>
      </c>
      <c r="G1358" t="s">
        <v>3069</v>
      </c>
      <c r="H1358" t="s">
        <v>3459</v>
      </c>
      <c r="I1358" t="s">
        <v>3490</v>
      </c>
      <c r="J1358">
        <v>11203</v>
      </c>
      <c r="K1358" t="s">
        <v>3522</v>
      </c>
      <c r="O1358" t="s">
        <v>4133</v>
      </c>
      <c r="Q1358" t="s">
        <v>4147</v>
      </c>
      <c r="T1358" t="s">
        <v>4156</v>
      </c>
      <c r="V1358" t="s">
        <v>289</v>
      </c>
      <c r="W1358">
        <v>658</v>
      </c>
      <c r="X1358" t="s">
        <v>4193</v>
      </c>
      <c r="Y1358" t="s">
        <v>4211</v>
      </c>
      <c r="Z1358" t="s">
        <v>5356</v>
      </c>
      <c r="AB1358" t="s">
        <v>6664</v>
      </c>
      <c r="AC1358">
        <v>66</v>
      </c>
      <c r="AF1358">
        <v>22</v>
      </c>
      <c r="AG1358">
        <v>1</v>
      </c>
      <c r="AH1358">
        <v>0</v>
      </c>
      <c r="AI1358">
        <v>309.46</v>
      </c>
      <c r="AL1358" t="s">
        <v>6801</v>
      </c>
      <c r="AM1358">
        <v>38651</v>
      </c>
    </row>
    <row r="1359" spans="1:44">
      <c r="A1359" s="1">
        <f>HYPERLINK("https://lsnyc.legalserver.org/matter/dynamic-profile/view/1915315","19-1915315")</f>
        <v>0</v>
      </c>
      <c r="B1359" t="s">
        <v>54</v>
      </c>
      <c r="C1359" t="s">
        <v>204</v>
      </c>
      <c r="E1359" t="s">
        <v>1193</v>
      </c>
      <c r="F1359" t="s">
        <v>954</v>
      </c>
      <c r="G1359" t="s">
        <v>2212</v>
      </c>
      <c r="H1359">
        <v>38</v>
      </c>
      <c r="I1359" t="s">
        <v>3490</v>
      </c>
      <c r="J1359">
        <v>11213</v>
      </c>
      <c r="K1359" t="s">
        <v>3522</v>
      </c>
      <c r="L1359" t="s">
        <v>3525</v>
      </c>
      <c r="M1359" t="s">
        <v>4038</v>
      </c>
      <c r="N1359" t="s">
        <v>4115</v>
      </c>
      <c r="O1359" t="s">
        <v>4134</v>
      </c>
      <c r="Q1359" t="s">
        <v>4147</v>
      </c>
      <c r="R1359" t="s">
        <v>3522</v>
      </c>
      <c r="T1359" t="s">
        <v>4156</v>
      </c>
      <c r="U1359" t="s">
        <v>4168</v>
      </c>
      <c r="V1359" t="s">
        <v>219</v>
      </c>
      <c r="W1359">
        <v>1161.8</v>
      </c>
      <c r="X1359" t="s">
        <v>4193</v>
      </c>
      <c r="Y1359" t="s">
        <v>4198</v>
      </c>
      <c r="Z1359" t="s">
        <v>5357</v>
      </c>
      <c r="AA1359" t="s">
        <v>3562</v>
      </c>
      <c r="AC1359">
        <v>31</v>
      </c>
      <c r="AD1359" t="s">
        <v>6772</v>
      </c>
      <c r="AE1359" t="s">
        <v>3526</v>
      </c>
      <c r="AF1359">
        <v>8</v>
      </c>
      <c r="AG1359">
        <v>2</v>
      </c>
      <c r="AH1359">
        <v>0</v>
      </c>
      <c r="AI1359">
        <v>312.24</v>
      </c>
      <c r="AL1359" t="s">
        <v>6801</v>
      </c>
      <c r="AM1359">
        <v>52800</v>
      </c>
      <c r="AN1359" t="s">
        <v>6892</v>
      </c>
    </row>
    <row r="1360" spans="1:44">
      <c r="A1360" s="1">
        <f>HYPERLINK("https://lsnyc.legalserver.org/matter/dynamic-profile/view/1915317","19-1915317")</f>
        <v>0</v>
      </c>
      <c r="B1360" t="s">
        <v>67</v>
      </c>
      <c r="C1360" t="s">
        <v>204</v>
      </c>
      <c r="E1360" t="s">
        <v>1193</v>
      </c>
      <c r="F1360" t="s">
        <v>954</v>
      </c>
      <c r="G1360" t="s">
        <v>2212</v>
      </c>
      <c r="H1360">
        <v>38</v>
      </c>
      <c r="I1360" t="s">
        <v>3490</v>
      </c>
      <c r="J1360">
        <v>11213</v>
      </c>
      <c r="K1360" t="s">
        <v>3522</v>
      </c>
      <c r="L1360" t="s">
        <v>3525</v>
      </c>
      <c r="M1360" t="s">
        <v>3562</v>
      </c>
      <c r="N1360" t="s">
        <v>3554</v>
      </c>
      <c r="O1360" t="s">
        <v>4135</v>
      </c>
      <c r="Q1360" t="s">
        <v>4147</v>
      </c>
      <c r="R1360" t="s">
        <v>3522</v>
      </c>
      <c r="T1360" t="s">
        <v>4156</v>
      </c>
      <c r="U1360" t="s">
        <v>4168</v>
      </c>
      <c r="V1360" t="s">
        <v>219</v>
      </c>
      <c r="W1360">
        <v>1161.8</v>
      </c>
      <c r="X1360" t="s">
        <v>4193</v>
      </c>
      <c r="Y1360" t="s">
        <v>4198</v>
      </c>
      <c r="Z1360" t="s">
        <v>5357</v>
      </c>
      <c r="AA1360" t="s">
        <v>3562</v>
      </c>
      <c r="AC1360">
        <v>31</v>
      </c>
      <c r="AD1360" t="s">
        <v>6772</v>
      </c>
      <c r="AE1360" t="s">
        <v>3526</v>
      </c>
      <c r="AF1360">
        <v>8</v>
      </c>
      <c r="AG1360">
        <v>2</v>
      </c>
      <c r="AH1360">
        <v>0</v>
      </c>
      <c r="AI1360">
        <v>312.24</v>
      </c>
      <c r="AL1360" t="s">
        <v>6801</v>
      </c>
      <c r="AM1360">
        <v>52800</v>
      </c>
      <c r="AN1360" t="s">
        <v>6892</v>
      </c>
    </row>
    <row r="1361" spans="1:42">
      <c r="A1361" s="1">
        <f>HYPERLINK("https://lsnyc.legalserver.org/matter/dynamic-profile/view/1908120","19-1908120")</f>
        <v>0</v>
      </c>
      <c r="B1361" t="s">
        <v>79</v>
      </c>
      <c r="C1361" t="s">
        <v>373</v>
      </c>
      <c r="E1361" t="s">
        <v>1194</v>
      </c>
      <c r="F1361" t="s">
        <v>2075</v>
      </c>
      <c r="G1361" t="s">
        <v>3070</v>
      </c>
      <c r="H1361" t="s">
        <v>3211</v>
      </c>
      <c r="I1361" t="s">
        <v>3493</v>
      </c>
      <c r="J1361">
        <v>10452</v>
      </c>
      <c r="K1361" t="s">
        <v>3522</v>
      </c>
      <c r="L1361" t="s">
        <v>3525</v>
      </c>
      <c r="M1361" t="s">
        <v>4084</v>
      </c>
      <c r="N1361" t="s">
        <v>4107</v>
      </c>
      <c r="O1361" t="s">
        <v>4134</v>
      </c>
      <c r="Q1361" t="s">
        <v>4147</v>
      </c>
      <c r="R1361" t="s">
        <v>3523</v>
      </c>
      <c r="T1361" t="s">
        <v>4156</v>
      </c>
      <c r="V1361" t="s">
        <v>4176</v>
      </c>
      <c r="W1361">
        <v>1182</v>
      </c>
      <c r="X1361" t="s">
        <v>4194</v>
      </c>
      <c r="Y1361" t="s">
        <v>4206</v>
      </c>
      <c r="Z1361" t="s">
        <v>5358</v>
      </c>
      <c r="AB1361" t="s">
        <v>6665</v>
      </c>
      <c r="AC1361">
        <v>129</v>
      </c>
      <c r="AD1361" t="s">
        <v>5524</v>
      </c>
      <c r="AE1361" t="s">
        <v>3526</v>
      </c>
      <c r="AF1361">
        <v>4</v>
      </c>
      <c r="AG1361">
        <v>1</v>
      </c>
      <c r="AH1361">
        <v>0</v>
      </c>
      <c r="AI1361">
        <v>312.25</v>
      </c>
      <c r="AL1361" t="s">
        <v>6801</v>
      </c>
      <c r="AM1361">
        <v>39000</v>
      </c>
    </row>
    <row r="1362" spans="1:42">
      <c r="A1362" s="1">
        <f>HYPERLINK("https://lsnyc.legalserver.org/matter/dynamic-profile/view/1906964","19-1906964")</f>
        <v>0</v>
      </c>
      <c r="B1362" t="s">
        <v>146</v>
      </c>
      <c r="C1362" t="s">
        <v>217</v>
      </c>
      <c r="D1362" t="s">
        <v>270</v>
      </c>
      <c r="E1362" t="s">
        <v>1195</v>
      </c>
      <c r="F1362" t="s">
        <v>2076</v>
      </c>
      <c r="G1362" t="s">
        <v>3071</v>
      </c>
      <c r="I1362" t="s">
        <v>3495</v>
      </c>
      <c r="J1362">
        <v>10009</v>
      </c>
      <c r="K1362" t="s">
        <v>3522</v>
      </c>
      <c r="L1362" t="s">
        <v>3525</v>
      </c>
      <c r="N1362" t="s">
        <v>4112</v>
      </c>
      <c r="O1362" t="s">
        <v>4133</v>
      </c>
      <c r="P1362" t="s">
        <v>4142</v>
      </c>
      <c r="Q1362" t="s">
        <v>4147</v>
      </c>
      <c r="T1362" t="s">
        <v>4156</v>
      </c>
      <c r="V1362" t="s">
        <v>217</v>
      </c>
      <c r="W1362">
        <v>0</v>
      </c>
      <c r="X1362" t="s">
        <v>4193</v>
      </c>
      <c r="Z1362" t="s">
        <v>5359</v>
      </c>
      <c r="AB1362" t="s">
        <v>6666</v>
      </c>
      <c r="AC1362">
        <v>88</v>
      </c>
      <c r="AF1362">
        <v>0</v>
      </c>
      <c r="AG1362">
        <v>2</v>
      </c>
      <c r="AH1362">
        <v>0</v>
      </c>
      <c r="AI1362">
        <v>313.02</v>
      </c>
      <c r="AL1362" t="s">
        <v>6801</v>
      </c>
      <c r="AM1362">
        <v>52932</v>
      </c>
      <c r="AN1362" t="s">
        <v>6893</v>
      </c>
    </row>
    <row r="1363" spans="1:42">
      <c r="A1363" s="1">
        <f>HYPERLINK("https://lsnyc.legalserver.org/matter/dynamic-profile/view/1913835","19-1913835")</f>
        <v>0</v>
      </c>
      <c r="B1363" t="s">
        <v>53</v>
      </c>
      <c r="C1363" t="s">
        <v>199</v>
      </c>
      <c r="E1363" t="s">
        <v>1196</v>
      </c>
      <c r="F1363" t="s">
        <v>1639</v>
      </c>
      <c r="G1363" t="s">
        <v>2188</v>
      </c>
      <c r="H1363" t="s">
        <v>3149</v>
      </c>
      <c r="I1363" t="s">
        <v>3490</v>
      </c>
      <c r="J1363">
        <v>11238</v>
      </c>
      <c r="K1363" t="s">
        <v>3522</v>
      </c>
      <c r="O1363" t="s">
        <v>4134</v>
      </c>
      <c r="Q1363" t="s">
        <v>4147</v>
      </c>
      <c r="R1363" t="s">
        <v>3522</v>
      </c>
      <c r="T1363" t="s">
        <v>4156</v>
      </c>
      <c r="V1363" t="s">
        <v>199</v>
      </c>
      <c r="W1363">
        <v>0</v>
      </c>
      <c r="X1363" t="s">
        <v>4193</v>
      </c>
      <c r="Y1363" t="s">
        <v>4202</v>
      </c>
      <c r="Z1363" t="s">
        <v>5360</v>
      </c>
      <c r="AC1363">
        <v>29</v>
      </c>
      <c r="AD1363" t="s">
        <v>6772</v>
      </c>
      <c r="AF1363">
        <v>0</v>
      </c>
      <c r="AG1363">
        <v>2</v>
      </c>
      <c r="AH1363">
        <v>0</v>
      </c>
      <c r="AI1363">
        <v>313.42</v>
      </c>
      <c r="AL1363" t="s">
        <v>6802</v>
      </c>
      <c r="AM1363">
        <v>53000</v>
      </c>
    </row>
    <row r="1364" spans="1:42">
      <c r="A1364" s="1">
        <f>HYPERLINK("https://lsnyc.legalserver.org/matter/dynamic-profile/view/1915061","19-1915061")</f>
        <v>0</v>
      </c>
      <c r="B1364" t="s">
        <v>94</v>
      </c>
      <c r="C1364" t="s">
        <v>219</v>
      </c>
      <c r="E1364" t="s">
        <v>1197</v>
      </c>
      <c r="F1364" t="s">
        <v>1307</v>
      </c>
      <c r="G1364" t="s">
        <v>3072</v>
      </c>
      <c r="H1364" t="s">
        <v>3170</v>
      </c>
      <c r="I1364" t="s">
        <v>3495</v>
      </c>
      <c r="J1364">
        <v>10035</v>
      </c>
      <c r="K1364" t="s">
        <v>3522</v>
      </c>
      <c r="L1364" t="s">
        <v>3525</v>
      </c>
      <c r="N1364" t="s">
        <v>4110</v>
      </c>
      <c r="O1364" t="s">
        <v>4134</v>
      </c>
      <c r="Q1364" t="s">
        <v>4147</v>
      </c>
      <c r="R1364" t="s">
        <v>3522</v>
      </c>
      <c r="T1364" t="s">
        <v>4156</v>
      </c>
      <c r="U1364" t="s">
        <v>4168</v>
      </c>
      <c r="V1364" t="s">
        <v>219</v>
      </c>
      <c r="W1364">
        <v>1065</v>
      </c>
      <c r="X1364" t="s">
        <v>4196</v>
      </c>
      <c r="Y1364" t="s">
        <v>4201</v>
      </c>
      <c r="Z1364" t="s">
        <v>5361</v>
      </c>
      <c r="AC1364">
        <v>60</v>
      </c>
      <c r="AD1364" t="s">
        <v>6772</v>
      </c>
      <c r="AE1364" t="s">
        <v>3526</v>
      </c>
      <c r="AF1364">
        <v>14</v>
      </c>
      <c r="AG1364">
        <v>2</v>
      </c>
      <c r="AH1364">
        <v>0</v>
      </c>
      <c r="AI1364">
        <v>313.42</v>
      </c>
      <c r="AL1364" t="s">
        <v>6801</v>
      </c>
      <c r="AM1364">
        <v>53000</v>
      </c>
    </row>
    <row r="1365" spans="1:42">
      <c r="A1365" s="1">
        <f>HYPERLINK("https://lsnyc.legalserver.org/matter/dynamic-profile/view/1914775","19-1914775")</f>
        <v>0</v>
      </c>
      <c r="B1365" t="s">
        <v>94</v>
      </c>
      <c r="C1365" t="s">
        <v>267</v>
      </c>
      <c r="E1365" t="s">
        <v>1197</v>
      </c>
      <c r="F1365" t="s">
        <v>1307</v>
      </c>
      <c r="G1365" t="s">
        <v>3072</v>
      </c>
      <c r="H1365" t="s">
        <v>3170</v>
      </c>
      <c r="I1365" t="s">
        <v>3495</v>
      </c>
      <c r="J1365">
        <v>10035</v>
      </c>
      <c r="K1365" t="s">
        <v>3522</v>
      </c>
      <c r="L1365" t="s">
        <v>3525</v>
      </c>
      <c r="N1365" t="s">
        <v>4108</v>
      </c>
      <c r="O1365" t="s">
        <v>4134</v>
      </c>
      <c r="Q1365" t="s">
        <v>4147</v>
      </c>
      <c r="R1365" t="s">
        <v>3522</v>
      </c>
      <c r="T1365" t="s">
        <v>4156</v>
      </c>
      <c r="U1365" t="s">
        <v>4168</v>
      </c>
      <c r="V1365" t="s">
        <v>267</v>
      </c>
      <c r="W1365">
        <v>1065</v>
      </c>
      <c r="X1365" t="s">
        <v>4196</v>
      </c>
      <c r="Y1365" t="s">
        <v>4201</v>
      </c>
      <c r="Z1365" t="s">
        <v>5361</v>
      </c>
      <c r="AC1365">
        <v>60</v>
      </c>
      <c r="AD1365" t="s">
        <v>6772</v>
      </c>
      <c r="AE1365" t="s">
        <v>3526</v>
      </c>
      <c r="AF1365">
        <v>14</v>
      </c>
      <c r="AG1365">
        <v>2</v>
      </c>
      <c r="AH1365">
        <v>0</v>
      </c>
      <c r="AI1365">
        <v>313.42</v>
      </c>
      <c r="AL1365" t="s">
        <v>6801</v>
      </c>
      <c r="AM1365">
        <v>53000</v>
      </c>
    </row>
    <row r="1366" spans="1:42">
      <c r="A1366" s="1">
        <f>HYPERLINK("https://lsnyc.legalserver.org/matter/dynamic-profile/view/1912103","19-1912103")</f>
        <v>0</v>
      </c>
      <c r="B1366" t="s">
        <v>90</v>
      </c>
      <c r="C1366" t="s">
        <v>333</v>
      </c>
      <c r="E1366" t="s">
        <v>1198</v>
      </c>
      <c r="F1366" t="s">
        <v>2077</v>
      </c>
      <c r="G1366" t="s">
        <v>3073</v>
      </c>
      <c r="H1366" t="s">
        <v>3149</v>
      </c>
      <c r="I1366" t="s">
        <v>3495</v>
      </c>
      <c r="J1366">
        <v>10034</v>
      </c>
      <c r="K1366" t="s">
        <v>3522</v>
      </c>
      <c r="L1366" t="s">
        <v>3525</v>
      </c>
      <c r="O1366" t="s">
        <v>4134</v>
      </c>
      <c r="Q1366" t="s">
        <v>4147</v>
      </c>
      <c r="R1366" t="s">
        <v>3523</v>
      </c>
      <c r="T1366" t="s">
        <v>4156</v>
      </c>
      <c r="V1366" t="s">
        <v>333</v>
      </c>
      <c r="W1366">
        <v>2300</v>
      </c>
      <c r="X1366" t="s">
        <v>4196</v>
      </c>
      <c r="Y1366" t="s">
        <v>4201</v>
      </c>
      <c r="Z1366" t="s">
        <v>5362</v>
      </c>
      <c r="AB1366" t="s">
        <v>6667</v>
      </c>
      <c r="AC1366">
        <v>20</v>
      </c>
      <c r="AD1366" t="s">
        <v>6772</v>
      </c>
      <c r="AE1366" t="s">
        <v>3526</v>
      </c>
      <c r="AF1366">
        <v>11</v>
      </c>
      <c r="AG1366">
        <v>2</v>
      </c>
      <c r="AH1366">
        <v>0</v>
      </c>
      <c r="AI1366">
        <v>313.42</v>
      </c>
      <c r="AJ1366" t="s">
        <v>6796</v>
      </c>
      <c r="AK1366" t="s">
        <v>6799</v>
      </c>
      <c r="AL1366" t="s">
        <v>6801</v>
      </c>
      <c r="AM1366">
        <v>53000</v>
      </c>
    </row>
    <row r="1367" spans="1:42">
      <c r="A1367" s="1">
        <f>HYPERLINK("https://lsnyc.legalserver.org/matter/dynamic-profile/view/1912602","19-1912602")</f>
        <v>0</v>
      </c>
      <c r="B1367" t="s">
        <v>159</v>
      </c>
      <c r="C1367" t="s">
        <v>178</v>
      </c>
      <c r="E1367" t="s">
        <v>423</v>
      </c>
      <c r="F1367" t="s">
        <v>987</v>
      </c>
      <c r="G1367" t="s">
        <v>3074</v>
      </c>
      <c r="H1367" t="s">
        <v>3148</v>
      </c>
      <c r="I1367" t="s">
        <v>3495</v>
      </c>
      <c r="J1367">
        <v>10040</v>
      </c>
      <c r="K1367" t="s">
        <v>3522</v>
      </c>
      <c r="L1367" t="s">
        <v>3525</v>
      </c>
      <c r="N1367" t="s">
        <v>4107</v>
      </c>
      <c r="O1367" t="s">
        <v>4136</v>
      </c>
      <c r="Q1367" t="s">
        <v>4147</v>
      </c>
      <c r="R1367" t="s">
        <v>3523</v>
      </c>
      <c r="T1367" t="s">
        <v>4156</v>
      </c>
      <c r="V1367" t="s">
        <v>178</v>
      </c>
      <c r="W1367">
        <v>1020</v>
      </c>
      <c r="X1367" t="s">
        <v>4196</v>
      </c>
      <c r="Y1367" t="s">
        <v>4205</v>
      </c>
      <c r="Z1367" t="s">
        <v>5363</v>
      </c>
      <c r="AB1367" t="s">
        <v>6668</v>
      </c>
      <c r="AC1367">
        <v>186</v>
      </c>
      <c r="AD1367" t="s">
        <v>6772</v>
      </c>
      <c r="AE1367" t="s">
        <v>3526</v>
      </c>
      <c r="AF1367">
        <v>34</v>
      </c>
      <c r="AG1367">
        <v>3</v>
      </c>
      <c r="AH1367">
        <v>0</v>
      </c>
      <c r="AI1367">
        <v>316.92</v>
      </c>
      <c r="AL1367" t="s">
        <v>6802</v>
      </c>
      <c r="AM1367">
        <v>67600</v>
      </c>
    </row>
    <row r="1368" spans="1:42">
      <c r="A1368" s="1">
        <f>HYPERLINK("https://lsnyc.legalserver.org/matter/dynamic-profile/view/1910921","19-1910921")</f>
        <v>0</v>
      </c>
      <c r="B1368" t="s">
        <v>53</v>
      </c>
      <c r="C1368" t="s">
        <v>198</v>
      </c>
      <c r="E1368" t="s">
        <v>1196</v>
      </c>
      <c r="F1368" t="s">
        <v>736</v>
      </c>
      <c r="G1368" t="s">
        <v>2188</v>
      </c>
      <c r="H1368" t="s">
        <v>3149</v>
      </c>
      <c r="I1368" t="s">
        <v>3490</v>
      </c>
      <c r="J1368">
        <v>11238</v>
      </c>
      <c r="K1368" t="s">
        <v>3522</v>
      </c>
      <c r="L1368" t="s">
        <v>3525</v>
      </c>
      <c r="M1368" t="s">
        <v>4085</v>
      </c>
      <c r="N1368" t="s">
        <v>4109</v>
      </c>
      <c r="O1368" t="s">
        <v>4134</v>
      </c>
      <c r="Q1368" t="s">
        <v>4147</v>
      </c>
      <c r="R1368" t="s">
        <v>3522</v>
      </c>
      <c r="T1368" t="s">
        <v>4156</v>
      </c>
      <c r="U1368" t="s">
        <v>4170</v>
      </c>
      <c r="V1368" t="s">
        <v>4189</v>
      </c>
      <c r="W1368">
        <v>0</v>
      </c>
      <c r="X1368" t="s">
        <v>4193</v>
      </c>
      <c r="Y1368" t="s">
        <v>4202</v>
      </c>
      <c r="Z1368" t="s">
        <v>5364</v>
      </c>
      <c r="AC1368">
        <v>29</v>
      </c>
      <c r="AD1368" t="s">
        <v>6772</v>
      </c>
      <c r="AE1368" t="s">
        <v>3526</v>
      </c>
      <c r="AF1368">
        <v>0</v>
      </c>
      <c r="AG1368">
        <v>2</v>
      </c>
      <c r="AH1368">
        <v>0</v>
      </c>
      <c r="AI1368">
        <v>317.94</v>
      </c>
      <c r="AJ1368" t="s">
        <v>6797</v>
      </c>
      <c r="AK1368" t="s">
        <v>6799</v>
      </c>
      <c r="AL1368" t="s">
        <v>6802</v>
      </c>
      <c r="AM1368">
        <v>53762.88</v>
      </c>
    </row>
    <row r="1369" spans="1:42">
      <c r="A1369" s="1">
        <f>HYPERLINK("https://lsnyc.legalserver.org/matter/dynamic-profile/view/1912929","19-1912929")</f>
        <v>0</v>
      </c>
      <c r="B1369" t="s">
        <v>49</v>
      </c>
      <c r="C1369" t="s">
        <v>196</v>
      </c>
      <c r="E1369" t="s">
        <v>1199</v>
      </c>
      <c r="F1369" t="s">
        <v>2078</v>
      </c>
      <c r="G1369" t="s">
        <v>3052</v>
      </c>
      <c r="H1369" t="s">
        <v>3460</v>
      </c>
      <c r="I1369" t="s">
        <v>3487</v>
      </c>
      <c r="J1369">
        <v>11368</v>
      </c>
      <c r="K1369" t="s">
        <v>3522</v>
      </c>
      <c r="L1369" t="s">
        <v>3525</v>
      </c>
      <c r="M1369" t="s">
        <v>3545</v>
      </c>
      <c r="N1369" t="s">
        <v>4110</v>
      </c>
      <c r="O1369" t="s">
        <v>4137</v>
      </c>
      <c r="Q1369" t="s">
        <v>4147</v>
      </c>
      <c r="R1369" t="s">
        <v>3522</v>
      </c>
      <c r="T1369" t="s">
        <v>4156</v>
      </c>
      <c r="U1369" t="s">
        <v>4168</v>
      </c>
      <c r="V1369" t="s">
        <v>196</v>
      </c>
      <c r="W1369">
        <v>1000</v>
      </c>
      <c r="X1369" t="s">
        <v>4192</v>
      </c>
      <c r="Y1369" t="s">
        <v>4198</v>
      </c>
      <c r="Z1369" t="s">
        <v>5365</v>
      </c>
      <c r="AA1369" t="s">
        <v>5482</v>
      </c>
      <c r="AB1369" t="s">
        <v>5482</v>
      </c>
      <c r="AC1369">
        <v>224</v>
      </c>
      <c r="AD1369" t="s">
        <v>6772</v>
      </c>
      <c r="AE1369" t="s">
        <v>3526</v>
      </c>
      <c r="AF1369">
        <v>40</v>
      </c>
      <c r="AG1369">
        <v>1</v>
      </c>
      <c r="AH1369">
        <v>0</v>
      </c>
      <c r="AI1369">
        <v>320.26</v>
      </c>
      <c r="AL1369" t="s">
        <v>6801</v>
      </c>
      <c r="AM1369">
        <v>40000</v>
      </c>
      <c r="AP1369" t="s">
        <v>4200</v>
      </c>
    </row>
    <row r="1370" spans="1:42">
      <c r="A1370" s="1">
        <f>HYPERLINK("https://lsnyc.legalserver.org/matter/dynamic-profile/view/1916856","19-1916856")</f>
        <v>0</v>
      </c>
      <c r="B1370" t="s">
        <v>93</v>
      </c>
      <c r="C1370" t="s">
        <v>189</v>
      </c>
      <c r="D1370" t="s">
        <v>189</v>
      </c>
      <c r="E1370" t="s">
        <v>402</v>
      </c>
      <c r="F1370" t="s">
        <v>1295</v>
      </c>
      <c r="G1370" t="s">
        <v>3075</v>
      </c>
      <c r="H1370" t="s">
        <v>3175</v>
      </c>
      <c r="I1370" t="s">
        <v>3495</v>
      </c>
      <c r="J1370">
        <v>10034</v>
      </c>
      <c r="K1370" t="s">
        <v>3522</v>
      </c>
      <c r="L1370" t="s">
        <v>3525</v>
      </c>
      <c r="N1370" t="s">
        <v>3554</v>
      </c>
      <c r="O1370" t="s">
        <v>4132</v>
      </c>
      <c r="P1370" t="s">
        <v>4139</v>
      </c>
      <c r="Q1370" t="s">
        <v>4147</v>
      </c>
      <c r="R1370" t="s">
        <v>3523</v>
      </c>
      <c r="T1370" t="s">
        <v>4156</v>
      </c>
      <c r="V1370" t="s">
        <v>189</v>
      </c>
      <c r="W1370">
        <v>1800</v>
      </c>
      <c r="X1370" t="s">
        <v>4196</v>
      </c>
      <c r="Y1370" t="s">
        <v>4205</v>
      </c>
      <c r="Z1370" t="s">
        <v>4604</v>
      </c>
      <c r="AB1370" t="s">
        <v>6669</v>
      </c>
      <c r="AC1370">
        <v>49</v>
      </c>
      <c r="AD1370" t="s">
        <v>6772</v>
      </c>
      <c r="AE1370" t="s">
        <v>3526</v>
      </c>
      <c r="AF1370">
        <v>-1</v>
      </c>
      <c r="AG1370">
        <v>1</v>
      </c>
      <c r="AH1370">
        <v>0</v>
      </c>
      <c r="AI1370">
        <v>321.47</v>
      </c>
      <c r="AL1370" t="s">
        <v>6801</v>
      </c>
      <c r="AM1370">
        <v>40152</v>
      </c>
    </row>
    <row r="1371" spans="1:42">
      <c r="A1371" s="1">
        <f>HYPERLINK("https://lsnyc.legalserver.org/matter/dynamic-profile/view/1907690","19-1907690")</f>
        <v>0</v>
      </c>
      <c r="B1371" t="s">
        <v>47</v>
      </c>
      <c r="C1371" t="s">
        <v>284</v>
      </c>
      <c r="E1371" t="s">
        <v>1200</v>
      </c>
      <c r="F1371" t="s">
        <v>2079</v>
      </c>
      <c r="G1371" t="s">
        <v>3017</v>
      </c>
      <c r="H1371" t="s">
        <v>3201</v>
      </c>
      <c r="I1371" t="s">
        <v>3486</v>
      </c>
      <c r="J1371">
        <v>11377</v>
      </c>
      <c r="K1371" t="s">
        <v>3522</v>
      </c>
      <c r="L1371" t="s">
        <v>3525</v>
      </c>
      <c r="M1371" t="s">
        <v>4046</v>
      </c>
      <c r="N1371" t="s">
        <v>4110</v>
      </c>
      <c r="O1371" t="s">
        <v>4137</v>
      </c>
      <c r="Q1371" t="s">
        <v>4147</v>
      </c>
      <c r="R1371" t="s">
        <v>3522</v>
      </c>
      <c r="T1371" t="s">
        <v>4156</v>
      </c>
      <c r="U1371" t="s">
        <v>4168</v>
      </c>
      <c r="V1371" t="s">
        <v>284</v>
      </c>
      <c r="W1371">
        <v>1635.49</v>
      </c>
      <c r="X1371" t="s">
        <v>4192</v>
      </c>
      <c r="Y1371" t="s">
        <v>4206</v>
      </c>
      <c r="Z1371" t="s">
        <v>5366</v>
      </c>
      <c r="AB1371" t="s">
        <v>6670</v>
      </c>
      <c r="AC1371">
        <v>390</v>
      </c>
      <c r="AD1371" t="s">
        <v>6772</v>
      </c>
      <c r="AE1371" t="s">
        <v>3526</v>
      </c>
      <c r="AF1371">
        <v>5</v>
      </c>
      <c r="AG1371">
        <v>3</v>
      </c>
      <c r="AH1371">
        <v>1</v>
      </c>
      <c r="AI1371">
        <v>322.33</v>
      </c>
      <c r="AJ1371" t="s">
        <v>269</v>
      </c>
      <c r="AK1371" t="s">
        <v>6799</v>
      </c>
      <c r="AL1371" t="s">
        <v>6801</v>
      </c>
      <c r="AM1371">
        <v>83000</v>
      </c>
      <c r="AP1371" t="s">
        <v>4200</v>
      </c>
    </row>
    <row r="1372" spans="1:42">
      <c r="A1372" s="1">
        <f>HYPERLINK("https://lsnyc.legalserver.org/matter/dynamic-profile/view/1914137","19-1914137")</f>
        <v>0</v>
      </c>
      <c r="B1372" t="s">
        <v>91</v>
      </c>
      <c r="C1372" t="s">
        <v>191</v>
      </c>
      <c r="D1372" t="s">
        <v>189</v>
      </c>
      <c r="E1372" t="s">
        <v>1201</v>
      </c>
      <c r="F1372" t="s">
        <v>1590</v>
      </c>
      <c r="G1372" t="s">
        <v>3076</v>
      </c>
      <c r="H1372" t="s">
        <v>3219</v>
      </c>
      <c r="I1372" t="s">
        <v>3495</v>
      </c>
      <c r="J1372">
        <v>10035</v>
      </c>
      <c r="K1372" t="s">
        <v>3522</v>
      </c>
      <c r="L1372" t="s">
        <v>3525</v>
      </c>
      <c r="N1372" t="s">
        <v>3554</v>
      </c>
      <c r="O1372" t="s">
        <v>4132</v>
      </c>
      <c r="P1372" t="s">
        <v>4139</v>
      </c>
      <c r="Q1372" t="s">
        <v>4147</v>
      </c>
      <c r="R1372" t="s">
        <v>3522</v>
      </c>
      <c r="T1372" t="s">
        <v>4156</v>
      </c>
      <c r="U1372" t="s">
        <v>4168</v>
      </c>
      <c r="V1372" t="s">
        <v>263</v>
      </c>
      <c r="W1372">
        <v>1625</v>
      </c>
      <c r="X1372" t="s">
        <v>4196</v>
      </c>
      <c r="Y1372" t="s">
        <v>4198</v>
      </c>
      <c r="Z1372" t="s">
        <v>5367</v>
      </c>
      <c r="AB1372" t="s">
        <v>6671</v>
      </c>
      <c r="AC1372">
        <v>41</v>
      </c>
      <c r="AD1372" t="s">
        <v>6772</v>
      </c>
      <c r="AE1372" t="s">
        <v>3526</v>
      </c>
      <c r="AF1372">
        <v>5</v>
      </c>
      <c r="AG1372">
        <v>2</v>
      </c>
      <c r="AH1372">
        <v>0</v>
      </c>
      <c r="AI1372">
        <v>325.25</v>
      </c>
      <c r="AL1372" t="s">
        <v>6801</v>
      </c>
      <c r="AM1372">
        <v>55000</v>
      </c>
    </row>
    <row r="1373" spans="1:42">
      <c r="A1373" s="1">
        <f>HYPERLINK("https://lsnyc.legalserver.org/matter/dynamic-profile/view/1905488","19-1905488")</f>
        <v>0</v>
      </c>
      <c r="B1373" t="s">
        <v>90</v>
      </c>
      <c r="C1373" t="s">
        <v>266</v>
      </c>
      <c r="E1373" t="s">
        <v>1120</v>
      </c>
      <c r="F1373" t="s">
        <v>2080</v>
      </c>
      <c r="G1373" t="s">
        <v>3077</v>
      </c>
      <c r="H1373" t="s">
        <v>3203</v>
      </c>
      <c r="I1373" t="s">
        <v>3495</v>
      </c>
      <c r="J1373">
        <v>10034</v>
      </c>
      <c r="K1373" t="s">
        <v>3522</v>
      </c>
      <c r="L1373" t="s">
        <v>3525</v>
      </c>
      <c r="N1373" t="s">
        <v>4108</v>
      </c>
      <c r="O1373" t="s">
        <v>4134</v>
      </c>
      <c r="Q1373" t="s">
        <v>4147</v>
      </c>
      <c r="R1373" t="s">
        <v>3523</v>
      </c>
      <c r="T1373" t="s">
        <v>4156</v>
      </c>
      <c r="V1373" t="s">
        <v>266</v>
      </c>
      <c r="W1373">
        <v>1550</v>
      </c>
      <c r="X1373" t="s">
        <v>4196</v>
      </c>
      <c r="Y1373" t="s">
        <v>4205</v>
      </c>
      <c r="Z1373" t="s">
        <v>5368</v>
      </c>
      <c r="AB1373" t="s">
        <v>6672</v>
      </c>
      <c r="AC1373">
        <v>44</v>
      </c>
      <c r="AD1373" t="s">
        <v>6772</v>
      </c>
      <c r="AE1373" t="s">
        <v>3526</v>
      </c>
      <c r="AF1373">
        <v>3</v>
      </c>
      <c r="AG1373">
        <v>1</v>
      </c>
      <c r="AH1373">
        <v>1</v>
      </c>
      <c r="AI1373">
        <v>325.25</v>
      </c>
      <c r="AJ1373" t="s">
        <v>333</v>
      </c>
      <c r="AK1373" t="s">
        <v>6799</v>
      </c>
      <c r="AL1373" t="s">
        <v>6801</v>
      </c>
      <c r="AM1373">
        <v>55000</v>
      </c>
    </row>
    <row r="1374" spans="1:42">
      <c r="A1374" s="1">
        <f>HYPERLINK("https://lsnyc.legalserver.org/matter/dynamic-profile/view/1913177","19-1913177")</f>
        <v>0</v>
      </c>
      <c r="B1374" t="s">
        <v>89</v>
      </c>
      <c r="C1374" t="s">
        <v>186</v>
      </c>
      <c r="E1374" t="s">
        <v>925</v>
      </c>
      <c r="F1374" t="s">
        <v>2081</v>
      </c>
      <c r="G1374" t="s">
        <v>2257</v>
      </c>
      <c r="H1374" t="s">
        <v>3246</v>
      </c>
      <c r="I1374" t="s">
        <v>3495</v>
      </c>
      <c r="J1374">
        <v>10032</v>
      </c>
      <c r="K1374" t="s">
        <v>3522</v>
      </c>
      <c r="L1374" t="s">
        <v>3525</v>
      </c>
      <c r="N1374" t="s">
        <v>4108</v>
      </c>
      <c r="O1374" t="s">
        <v>4134</v>
      </c>
      <c r="Q1374" t="s">
        <v>4147</v>
      </c>
      <c r="R1374" t="s">
        <v>3522</v>
      </c>
      <c r="T1374" t="s">
        <v>4156</v>
      </c>
      <c r="V1374" t="s">
        <v>186</v>
      </c>
      <c r="W1374">
        <v>894.05</v>
      </c>
      <c r="X1374" t="s">
        <v>4196</v>
      </c>
      <c r="Y1374" t="s">
        <v>4201</v>
      </c>
      <c r="Z1374" t="s">
        <v>5369</v>
      </c>
      <c r="AB1374" t="s">
        <v>6673</v>
      </c>
      <c r="AC1374">
        <v>48</v>
      </c>
      <c r="AD1374" t="s">
        <v>6772</v>
      </c>
      <c r="AE1374" t="s">
        <v>3526</v>
      </c>
      <c r="AF1374">
        <v>19</v>
      </c>
      <c r="AG1374">
        <v>2</v>
      </c>
      <c r="AH1374">
        <v>3</v>
      </c>
      <c r="AI1374">
        <v>326.15</v>
      </c>
      <c r="AJ1374" t="s">
        <v>269</v>
      </c>
      <c r="AK1374" t="s">
        <v>6799</v>
      </c>
      <c r="AL1374" t="s">
        <v>6801</v>
      </c>
      <c r="AM1374">
        <v>98400</v>
      </c>
    </row>
    <row r="1375" spans="1:42">
      <c r="A1375" s="1">
        <f>HYPERLINK("https://lsnyc.legalserver.org/matter/dynamic-profile/view/1914803","19-1914803")</f>
        <v>0</v>
      </c>
      <c r="B1375" t="s">
        <v>141</v>
      </c>
      <c r="C1375" t="s">
        <v>267</v>
      </c>
      <c r="E1375" t="s">
        <v>1202</v>
      </c>
      <c r="F1375" t="s">
        <v>2082</v>
      </c>
      <c r="G1375" t="s">
        <v>2673</v>
      </c>
      <c r="H1375" t="s">
        <v>3461</v>
      </c>
      <c r="I1375" t="s">
        <v>3493</v>
      </c>
      <c r="J1375">
        <v>10452</v>
      </c>
      <c r="K1375" t="s">
        <v>3522</v>
      </c>
      <c r="L1375" t="s">
        <v>3525</v>
      </c>
      <c r="M1375" t="s">
        <v>4086</v>
      </c>
      <c r="N1375" t="s">
        <v>4109</v>
      </c>
      <c r="O1375" t="s">
        <v>4134</v>
      </c>
      <c r="Q1375" t="s">
        <v>4147</v>
      </c>
      <c r="R1375" t="s">
        <v>3523</v>
      </c>
      <c r="T1375" t="s">
        <v>4156</v>
      </c>
      <c r="U1375" t="s">
        <v>4168</v>
      </c>
      <c r="V1375" t="s">
        <v>4190</v>
      </c>
      <c r="W1375">
        <v>849</v>
      </c>
      <c r="X1375" t="s">
        <v>4194</v>
      </c>
      <c r="Y1375" t="s">
        <v>4201</v>
      </c>
      <c r="Z1375" t="s">
        <v>5370</v>
      </c>
      <c r="AB1375" t="s">
        <v>6674</v>
      </c>
      <c r="AC1375">
        <v>122</v>
      </c>
      <c r="AD1375" t="s">
        <v>6772</v>
      </c>
      <c r="AF1375">
        <v>28</v>
      </c>
      <c r="AG1375">
        <v>1</v>
      </c>
      <c r="AH1375">
        <v>0</v>
      </c>
      <c r="AI1375">
        <v>326.41</v>
      </c>
      <c r="AL1375" t="s">
        <v>6801</v>
      </c>
      <c r="AM1375">
        <v>40768</v>
      </c>
    </row>
    <row r="1376" spans="1:42">
      <c r="A1376" s="1">
        <f>HYPERLINK("https://lsnyc.legalserver.org/matter/dynamic-profile/view/1905149","19-1905149")</f>
        <v>0</v>
      </c>
      <c r="B1376" t="s">
        <v>46</v>
      </c>
      <c r="C1376" t="s">
        <v>216</v>
      </c>
      <c r="E1376" t="s">
        <v>1088</v>
      </c>
      <c r="F1376" t="s">
        <v>1327</v>
      </c>
      <c r="G1376" t="s">
        <v>3078</v>
      </c>
      <c r="H1376" t="s">
        <v>3130</v>
      </c>
      <c r="I1376" t="s">
        <v>3496</v>
      </c>
      <c r="J1376">
        <v>11385</v>
      </c>
      <c r="K1376" t="s">
        <v>3522</v>
      </c>
      <c r="L1376" t="s">
        <v>3525</v>
      </c>
      <c r="M1376" t="s">
        <v>4087</v>
      </c>
      <c r="N1376" t="s">
        <v>4109</v>
      </c>
      <c r="O1376" t="s">
        <v>4134</v>
      </c>
      <c r="Q1376" t="s">
        <v>4147</v>
      </c>
      <c r="R1376" t="s">
        <v>3523</v>
      </c>
      <c r="T1376" t="s">
        <v>4156</v>
      </c>
      <c r="U1376" t="s">
        <v>4168</v>
      </c>
      <c r="V1376" t="s">
        <v>216</v>
      </c>
      <c r="W1376">
        <v>1050</v>
      </c>
      <c r="X1376" t="s">
        <v>4192</v>
      </c>
      <c r="Y1376" t="s">
        <v>4206</v>
      </c>
      <c r="Z1376" t="s">
        <v>5371</v>
      </c>
      <c r="AB1376" t="s">
        <v>6675</v>
      </c>
      <c r="AC1376">
        <v>6</v>
      </c>
      <c r="AD1376" t="s">
        <v>6772</v>
      </c>
      <c r="AE1376" t="s">
        <v>3526</v>
      </c>
      <c r="AF1376">
        <v>14</v>
      </c>
      <c r="AG1376">
        <v>1</v>
      </c>
      <c r="AH1376">
        <v>2</v>
      </c>
      <c r="AI1376">
        <v>327.79</v>
      </c>
      <c r="AJ1376" t="s">
        <v>234</v>
      </c>
      <c r="AK1376" t="s">
        <v>6799</v>
      </c>
      <c r="AL1376" t="s">
        <v>6801</v>
      </c>
      <c r="AM1376">
        <v>69918</v>
      </c>
      <c r="AP1376" t="s">
        <v>6944</v>
      </c>
    </row>
    <row r="1377" spans="1:44">
      <c r="A1377" s="1">
        <f>HYPERLINK("https://lsnyc.legalserver.org/matter/dynamic-profile/view/1898066","19-1898066")</f>
        <v>0</v>
      </c>
      <c r="B1377" t="s">
        <v>66</v>
      </c>
      <c r="C1377" t="s">
        <v>188</v>
      </c>
      <c r="E1377" t="s">
        <v>1203</v>
      </c>
      <c r="F1377" t="s">
        <v>1519</v>
      </c>
      <c r="G1377" t="s">
        <v>3079</v>
      </c>
      <c r="H1377">
        <v>15</v>
      </c>
      <c r="I1377" t="s">
        <v>3490</v>
      </c>
      <c r="J1377">
        <v>11226</v>
      </c>
      <c r="K1377" t="s">
        <v>3522</v>
      </c>
      <c r="L1377" t="s">
        <v>3525</v>
      </c>
      <c r="N1377" t="s">
        <v>4108</v>
      </c>
      <c r="O1377" t="s">
        <v>4134</v>
      </c>
      <c r="Q1377" t="s">
        <v>4147</v>
      </c>
      <c r="R1377" t="s">
        <v>3522</v>
      </c>
      <c r="T1377" t="s">
        <v>4156</v>
      </c>
      <c r="V1377" t="s">
        <v>188</v>
      </c>
      <c r="W1377">
        <v>717</v>
      </c>
      <c r="X1377" t="s">
        <v>4193</v>
      </c>
      <c r="Z1377" t="s">
        <v>5372</v>
      </c>
      <c r="AB1377" t="s">
        <v>6676</v>
      </c>
      <c r="AC1377">
        <v>16</v>
      </c>
      <c r="AF1377">
        <v>14</v>
      </c>
      <c r="AG1377">
        <v>3</v>
      </c>
      <c r="AH1377">
        <v>0</v>
      </c>
      <c r="AI1377">
        <v>328.18</v>
      </c>
      <c r="AJ1377" t="s">
        <v>333</v>
      </c>
      <c r="AK1377" t="s">
        <v>6799</v>
      </c>
      <c r="AL1377" t="s">
        <v>6801</v>
      </c>
      <c r="AM1377">
        <v>70000</v>
      </c>
    </row>
    <row r="1378" spans="1:44">
      <c r="A1378" s="1">
        <f>HYPERLINK("https://lsnyc.legalserver.org/matter/dynamic-profile/view/1902327","19-1902327")</f>
        <v>0</v>
      </c>
      <c r="B1378" t="s">
        <v>61</v>
      </c>
      <c r="C1378" t="s">
        <v>180</v>
      </c>
      <c r="D1378" t="s">
        <v>299</v>
      </c>
      <c r="E1378" t="s">
        <v>1193</v>
      </c>
      <c r="F1378" t="s">
        <v>1353</v>
      </c>
      <c r="G1378" t="s">
        <v>3080</v>
      </c>
      <c r="H1378" t="s">
        <v>3462</v>
      </c>
      <c r="I1378" t="s">
        <v>3490</v>
      </c>
      <c r="J1378">
        <v>11233</v>
      </c>
      <c r="K1378" t="s">
        <v>3522</v>
      </c>
      <c r="L1378" t="s">
        <v>3525</v>
      </c>
      <c r="N1378" t="s">
        <v>4109</v>
      </c>
      <c r="O1378" t="s">
        <v>4132</v>
      </c>
      <c r="P1378" t="s">
        <v>4139</v>
      </c>
      <c r="Q1378" t="s">
        <v>4147</v>
      </c>
      <c r="R1378" t="s">
        <v>3523</v>
      </c>
      <c r="T1378" t="s">
        <v>4156</v>
      </c>
      <c r="U1378" t="s">
        <v>4168</v>
      </c>
      <c r="V1378" t="s">
        <v>266</v>
      </c>
      <c r="W1378">
        <v>1365</v>
      </c>
      <c r="X1378" t="s">
        <v>4193</v>
      </c>
      <c r="Y1378" t="s">
        <v>4200</v>
      </c>
      <c r="Z1378" t="s">
        <v>5373</v>
      </c>
      <c r="AA1378" t="s">
        <v>3526</v>
      </c>
      <c r="AB1378" t="s">
        <v>6677</v>
      </c>
      <c r="AC1378">
        <v>8</v>
      </c>
      <c r="AD1378" t="s">
        <v>6772</v>
      </c>
      <c r="AE1378" t="s">
        <v>6786</v>
      </c>
      <c r="AF1378">
        <v>23</v>
      </c>
      <c r="AG1378">
        <v>2</v>
      </c>
      <c r="AH1378">
        <v>0</v>
      </c>
      <c r="AI1378">
        <v>331.16</v>
      </c>
      <c r="AL1378" t="s">
        <v>6802</v>
      </c>
      <c r="AM1378">
        <v>56000</v>
      </c>
      <c r="AN1378" t="s">
        <v>6894</v>
      </c>
    </row>
    <row r="1379" spans="1:44">
      <c r="A1379" s="1">
        <f>HYPERLINK("https://lsnyc.legalserver.org/matter/dynamic-profile/view/1911485","19-1911485")</f>
        <v>0</v>
      </c>
      <c r="B1379" t="s">
        <v>55</v>
      </c>
      <c r="C1379" t="s">
        <v>215</v>
      </c>
      <c r="D1379" t="s">
        <v>213</v>
      </c>
      <c r="E1379" t="s">
        <v>914</v>
      </c>
      <c r="F1379" t="s">
        <v>2083</v>
      </c>
      <c r="G1379" t="s">
        <v>3081</v>
      </c>
      <c r="H1379" t="s">
        <v>3190</v>
      </c>
      <c r="I1379" t="s">
        <v>3490</v>
      </c>
      <c r="J1379">
        <v>11212</v>
      </c>
      <c r="K1379" t="s">
        <v>3522</v>
      </c>
      <c r="L1379" t="s">
        <v>3525</v>
      </c>
      <c r="M1379" t="s">
        <v>4088</v>
      </c>
      <c r="N1379" t="s">
        <v>4109</v>
      </c>
      <c r="O1379" t="s">
        <v>4132</v>
      </c>
      <c r="P1379" t="s">
        <v>4139</v>
      </c>
      <c r="Q1379" t="s">
        <v>4147</v>
      </c>
      <c r="R1379" t="s">
        <v>3523</v>
      </c>
      <c r="T1379" t="s">
        <v>4156</v>
      </c>
      <c r="U1379" t="s">
        <v>4167</v>
      </c>
      <c r="V1379" t="s">
        <v>194</v>
      </c>
      <c r="W1379">
        <v>1217</v>
      </c>
      <c r="X1379" t="s">
        <v>4193</v>
      </c>
      <c r="Y1379" t="s">
        <v>4210</v>
      </c>
      <c r="Z1379" t="s">
        <v>5374</v>
      </c>
      <c r="AA1379" t="s">
        <v>3562</v>
      </c>
      <c r="AB1379" t="s">
        <v>6678</v>
      </c>
      <c r="AC1379">
        <v>26</v>
      </c>
      <c r="AD1379" t="s">
        <v>6772</v>
      </c>
      <c r="AE1379" t="s">
        <v>3526</v>
      </c>
      <c r="AF1379">
        <v>11</v>
      </c>
      <c r="AG1379">
        <v>1</v>
      </c>
      <c r="AH1379">
        <v>0</v>
      </c>
      <c r="AI1379">
        <v>332.23</v>
      </c>
      <c r="AL1379" t="s">
        <v>6801</v>
      </c>
      <c r="AM1379">
        <v>41496</v>
      </c>
    </row>
    <row r="1380" spans="1:44">
      <c r="A1380" s="1">
        <f>HYPERLINK("https://lsnyc.legalserver.org/matter/dynamic-profile/view/1906454","19-1906454")</f>
        <v>0</v>
      </c>
      <c r="B1380" t="s">
        <v>76</v>
      </c>
      <c r="C1380" t="s">
        <v>373</v>
      </c>
      <c r="D1380" t="s">
        <v>211</v>
      </c>
      <c r="E1380" t="s">
        <v>423</v>
      </c>
      <c r="F1380" t="s">
        <v>1802</v>
      </c>
      <c r="G1380" t="s">
        <v>3082</v>
      </c>
      <c r="I1380" t="s">
        <v>3493</v>
      </c>
      <c r="J1380">
        <v>10452</v>
      </c>
      <c r="K1380" t="s">
        <v>3522</v>
      </c>
      <c r="L1380" t="s">
        <v>3525</v>
      </c>
      <c r="N1380" t="s">
        <v>3554</v>
      </c>
      <c r="O1380" t="s">
        <v>4135</v>
      </c>
      <c r="P1380" t="s">
        <v>4139</v>
      </c>
      <c r="Q1380" t="s">
        <v>4147</v>
      </c>
      <c r="R1380" t="s">
        <v>3523</v>
      </c>
      <c r="T1380" t="s">
        <v>4156</v>
      </c>
      <c r="V1380" t="s">
        <v>217</v>
      </c>
      <c r="W1380">
        <v>1550</v>
      </c>
      <c r="X1380" t="s">
        <v>4194</v>
      </c>
      <c r="Y1380" t="s">
        <v>4198</v>
      </c>
      <c r="Z1380" t="s">
        <v>5375</v>
      </c>
      <c r="AB1380" t="s">
        <v>6679</v>
      </c>
      <c r="AC1380">
        <v>45</v>
      </c>
      <c r="AD1380" t="s">
        <v>6782</v>
      </c>
      <c r="AE1380" t="s">
        <v>3526</v>
      </c>
      <c r="AF1380">
        <v>0</v>
      </c>
      <c r="AG1380">
        <v>1</v>
      </c>
      <c r="AH1380">
        <v>0</v>
      </c>
      <c r="AI1380">
        <v>333</v>
      </c>
      <c r="AL1380" t="s">
        <v>6801</v>
      </c>
      <c r="AM1380">
        <v>41592</v>
      </c>
    </row>
    <row r="1381" spans="1:44">
      <c r="A1381" s="1">
        <f>HYPERLINK("https://lsnyc.legalserver.org/matter/dynamic-profile/view/1916523","19-1916523")</f>
        <v>0</v>
      </c>
      <c r="B1381" t="s">
        <v>52</v>
      </c>
      <c r="C1381" t="s">
        <v>297</v>
      </c>
      <c r="E1381" t="s">
        <v>1185</v>
      </c>
      <c r="F1381" t="s">
        <v>987</v>
      </c>
      <c r="G1381" t="s">
        <v>2640</v>
      </c>
      <c r="H1381" t="s">
        <v>3139</v>
      </c>
      <c r="I1381" t="s">
        <v>3490</v>
      </c>
      <c r="J1381">
        <v>11220</v>
      </c>
      <c r="K1381" t="s">
        <v>3522</v>
      </c>
      <c r="L1381" t="s">
        <v>3525</v>
      </c>
      <c r="N1381" t="s">
        <v>4115</v>
      </c>
      <c r="O1381" t="s">
        <v>4134</v>
      </c>
      <c r="Q1381" t="s">
        <v>4147</v>
      </c>
      <c r="R1381" t="s">
        <v>3522</v>
      </c>
      <c r="T1381" t="s">
        <v>4156</v>
      </c>
      <c r="V1381" t="s">
        <v>208</v>
      </c>
      <c r="W1381">
        <v>881.53</v>
      </c>
      <c r="X1381" t="s">
        <v>4193</v>
      </c>
      <c r="Z1381" t="s">
        <v>5376</v>
      </c>
      <c r="AB1381" t="s">
        <v>6680</v>
      </c>
      <c r="AC1381">
        <v>54</v>
      </c>
      <c r="AF1381">
        <v>51</v>
      </c>
      <c r="AG1381">
        <v>1</v>
      </c>
      <c r="AH1381">
        <v>0</v>
      </c>
      <c r="AI1381">
        <v>333.07</v>
      </c>
      <c r="AL1381" t="s">
        <v>6801</v>
      </c>
      <c r="AM1381">
        <v>41600</v>
      </c>
    </row>
    <row r="1382" spans="1:44">
      <c r="A1382" s="1">
        <f>HYPERLINK("https://lsnyc.legalserver.org/matter/dynamic-profile/view/1905193","19-1905193")</f>
        <v>0</v>
      </c>
      <c r="B1382" t="s">
        <v>65</v>
      </c>
      <c r="C1382" t="s">
        <v>255</v>
      </c>
      <c r="E1382" t="s">
        <v>1185</v>
      </c>
      <c r="F1382" t="s">
        <v>987</v>
      </c>
      <c r="G1382" t="s">
        <v>2640</v>
      </c>
      <c r="H1382" t="s">
        <v>3139</v>
      </c>
      <c r="I1382" t="s">
        <v>3490</v>
      </c>
      <c r="J1382">
        <v>11220</v>
      </c>
      <c r="K1382" t="s">
        <v>3522</v>
      </c>
      <c r="L1382" t="s">
        <v>3525</v>
      </c>
      <c r="N1382" t="s">
        <v>4108</v>
      </c>
      <c r="O1382" t="s">
        <v>4134</v>
      </c>
      <c r="Q1382" t="s">
        <v>4147</v>
      </c>
      <c r="R1382" t="s">
        <v>3522</v>
      </c>
      <c r="S1382" t="s">
        <v>4149</v>
      </c>
      <c r="T1382" t="s">
        <v>4156</v>
      </c>
      <c r="V1382" t="s">
        <v>272</v>
      </c>
      <c r="W1382">
        <v>0</v>
      </c>
      <c r="X1382" t="s">
        <v>4193</v>
      </c>
      <c r="Z1382" t="s">
        <v>5376</v>
      </c>
      <c r="AB1382" t="s">
        <v>6680</v>
      </c>
      <c r="AC1382">
        <v>54</v>
      </c>
      <c r="AF1382">
        <v>0</v>
      </c>
      <c r="AG1382">
        <v>1</v>
      </c>
      <c r="AH1382">
        <v>0</v>
      </c>
      <c r="AI1382">
        <v>333.07</v>
      </c>
      <c r="AL1382" t="s">
        <v>6801</v>
      </c>
      <c r="AM1382">
        <v>41600</v>
      </c>
    </row>
    <row r="1383" spans="1:44">
      <c r="A1383" s="1">
        <f>HYPERLINK("https://lsnyc.legalserver.org/matter/dynamic-profile/view/1904419","19-1904419")</f>
        <v>0</v>
      </c>
      <c r="B1383" t="s">
        <v>69</v>
      </c>
      <c r="C1383" t="s">
        <v>293</v>
      </c>
      <c r="E1383" t="s">
        <v>718</v>
      </c>
      <c r="F1383" t="s">
        <v>2084</v>
      </c>
      <c r="G1383" t="s">
        <v>2268</v>
      </c>
      <c r="H1383" t="s">
        <v>3224</v>
      </c>
      <c r="I1383" t="s">
        <v>3490</v>
      </c>
      <c r="J1383">
        <v>11213</v>
      </c>
      <c r="K1383" t="s">
        <v>3522</v>
      </c>
      <c r="L1383" t="s">
        <v>3525</v>
      </c>
      <c r="M1383" t="s">
        <v>4089</v>
      </c>
      <c r="N1383" t="s">
        <v>4107</v>
      </c>
      <c r="O1383" t="s">
        <v>4134</v>
      </c>
      <c r="Q1383" t="s">
        <v>4147</v>
      </c>
      <c r="R1383" t="s">
        <v>3523</v>
      </c>
      <c r="T1383" t="s">
        <v>4156</v>
      </c>
      <c r="U1383" t="s">
        <v>4168</v>
      </c>
      <c r="V1383" t="s">
        <v>293</v>
      </c>
      <c r="W1383">
        <v>876</v>
      </c>
      <c r="X1383" t="s">
        <v>4193</v>
      </c>
      <c r="Y1383" t="s">
        <v>4211</v>
      </c>
      <c r="Z1383" t="s">
        <v>5377</v>
      </c>
      <c r="AA1383" t="s">
        <v>3526</v>
      </c>
      <c r="AB1383" t="s">
        <v>6681</v>
      </c>
      <c r="AC1383">
        <v>107</v>
      </c>
      <c r="AD1383" t="s">
        <v>6772</v>
      </c>
      <c r="AE1383" t="s">
        <v>3526</v>
      </c>
      <c r="AF1383">
        <v>35</v>
      </c>
      <c r="AG1383">
        <v>1</v>
      </c>
      <c r="AH1383">
        <v>0</v>
      </c>
      <c r="AI1383">
        <v>333.07</v>
      </c>
      <c r="AJ1383" t="s">
        <v>208</v>
      </c>
      <c r="AK1383" t="s">
        <v>6799</v>
      </c>
      <c r="AL1383" t="s">
        <v>6801</v>
      </c>
      <c r="AM1383">
        <v>41600</v>
      </c>
    </row>
    <row r="1384" spans="1:44">
      <c r="A1384" s="1">
        <f>HYPERLINK("https://lsnyc.legalserver.org/matter/dynamic-profile/view/1902627","19-1902627")</f>
        <v>0</v>
      </c>
      <c r="B1384" t="s">
        <v>61</v>
      </c>
      <c r="C1384" t="s">
        <v>334</v>
      </c>
      <c r="D1384" t="s">
        <v>247</v>
      </c>
      <c r="E1384" t="s">
        <v>1204</v>
      </c>
      <c r="F1384" t="s">
        <v>2085</v>
      </c>
      <c r="G1384" t="s">
        <v>3083</v>
      </c>
      <c r="H1384" t="s">
        <v>3463</v>
      </c>
      <c r="I1384" t="s">
        <v>3490</v>
      </c>
      <c r="J1384">
        <v>11210</v>
      </c>
      <c r="K1384" t="s">
        <v>3522</v>
      </c>
      <c r="L1384" t="s">
        <v>3525</v>
      </c>
      <c r="M1384" t="s">
        <v>3554</v>
      </c>
      <c r="N1384" t="s">
        <v>3554</v>
      </c>
      <c r="O1384" t="s">
        <v>4132</v>
      </c>
      <c r="P1384" t="s">
        <v>4139</v>
      </c>
      <c r="Q1384" t="s">
        <v>4147</v>
      </c>
      <c r="R1384" t="s">
        <v>3523</v>
      </c>
      <c r="T1384" t="s">
        <v>4156</v>
      </c>
      <c r="V1384" t="s">
        <v>336</v>
      </c>
      <c r="W1384">
        <v>800</v>
      </c>
      <c r="X1384" t="s">
        <v>4193</v>
      </c>
      <c r="Y1384" t="s">
        <v>4206</v>
      </c>
      <c r="Z1384" t="s">
        <v>5378</v>
      </c>
      <c r="AA1384" t="s">
        <v>3526</v>
      </c>
      <c r="AB1384" t="s">
        <v>6682</v>
      </c>
      <c r="AC1384">
        <v>3</v>
      </c>
      <c r="AD1384" t="s">
        <v>6771</v>
      </c>
      <c r="AE1384" t="s">
        <v>3526</v>
      </c>
      <c r="AF1384">
        <v>1</v>
      </c>
      <c r="AG1384">
        <v>1</v>
      </c>
      <c r="AH1384">
        <v>0</v>
      </c>
      <c r="AI1384">
        <v>333.07</v>
      </c>
      <c r="AL1384" t="s">
        <v>6801</v>
      </c>
      <c r="AM1384">
        <v>41600</v>
      </c>
    </row>
    <row r="1385" spans="1:44">
      <c r="A1385" s="1">
        <f>HYPERLINK("https://lsnyc.legalserver.org/matter/dynamic-profile/view/1915158","19-1915158")</f>
        <v>0</v>
      </c>
      <c r="B1385" t="s">
        <v>87</v>
      </c>
      <c r="C1385" t="s">
        <v>182</v>
      </c>
      <c r="D1385" t="s">
        <v>220</v>
      </c>
      <c r="E1385" t="s">
        <v>1205</v>
      </c>
      <c r="F1385" t="s">
        <v>2086</v>
      </c>
      <c r="G1385" t="s">
        <v>3084</v>
      </c>
      <c r="H1385" t="s">
        <v>3141</v>
      </c>
      <c r="I1385" t="s">
        <v>3495</v>
      </c>
      <c r="J1385">
        <v>10034</v>
      </c>
      <c r="K1385" t="s">
        <v>3522</v>
      </c>
      <c r="L1385" t="s">
        <v>3525</v>
      </c>
      <c r="N1385" t="s">
        <v>4113</v>
      </c>
      <c r="O1385" t="s">
        <v>4132</v>
      </c>
      <c r="P1385" t="s">
        <v>4139</v>
      </c>
      <c r="Q1385" t="s">
        <v>4147</v>
      </c>
      <c r="R1385" t="s">
        <v>3523</v>
      </c>
      <c r="T1385" t="s">
        <v>4156</v>
      </c>
      <c r="V1385" t="s">
        <v>182</v>
      </c>
      <c r="W1385">
        <v>1421</v>
      </c>
      <c r="X1385" t="s">
        <v>4196</v>
      </c>
      <c r="Y1385" t="s">
        <v>4205</v>
      </c>
      <c r="Z1385" t="s">
        <v>5379</v>
      </c>
      <c r="AB1385" t="s">
        <v>6683</v>
      </c>
      <c r="AC1385">
        <v>0</v>
      </c>
      <c r="AD1385" t="s">
        <v>6772</v>
      </c>
      <c r="AE1385" t="s">
        <v>3526</v>
      </c>
      <c r="AF1385">
        <v>3</v>
      </c>
      <c r="AG1385">
        <v>1</v>
      </c>
      <c r="AH1385">
        <v>0</v>
      </c>
      <c r="AI1385">
        <v>333.07</v>
      </c>
      <c r="AL1385" t="s">
        <v>6801</v>
      </c>
      <c r="AM1385">
        <v>41600</v>
      </c>
    </row>
    <row r="1386" spans="1:44">
      <c r="A1386" s="1">
        <f>HYPERLINK("https://lsnyc.legalserver.org/matter/dynamic-profile/view/1915118","19-1915118")</f>
        <v>0</v>
      </c>
      <c r="B1386" t="s">
        <v>87</v>
      </c>
      <c r="C1386" t="s">
        <v>182</v>
      </c>
      <c r="D1386" t="s">
        <v>260</v>
      </c>
      <c r="E1386" t="s">
        <v>390</v>
      </c>
      <c r="F1386" t="s">
        <v>2087</v>
      </c>
      <c r="G1386" t="s">
        <v>3085</v>
      </c>
      <c r="H1386" t="s">
        <v>3216</v>
      </c>
      <c r="I1386" t="s">
        <v>3495</v>
      </c>
      <c r="J1386">
        <v>10032</v>
      </c>
      <c r="K1386" t="s">
        <v>3522</v>
      </c>
      <c r="L1386" t="s">
        <v>3525</v>
      </c>
      <c r="N1386" t="s">
        <v>3554</v>
      </c>
      <c r="O1386" t="s">
        <v>4132</v>
      </c>
      <c r="P1386" t="s">
        <v>4139</v>
      </c>
      <c r="Q1386" t="s">
        <v>4147</v>
      </c>
      <c r="R1386" t="s">
        <v>3523</v>
      </c>
      <c r="T1386" t="s">
        <v>4156</v>
      </c>
      <c r="V1386" t="s">
        <v>182</v>
      </c>
      <c r="W1386">
        <v>2091.32</v>
      </c>
      <c r="X1386" t="s">
        <v>4196</v>
      </c>
      <c r="Y1386" t="s">
        <v>4205</v>
      </c>
      <c r="Z1386" t="s">
        <v>5380</v>
      </c>
      <c r="AB1386" t="s">
        <v>6684</v>
      </c>
      <c r="AC1386">
        <v>37</v>
      </c>
      <c r="AD1386" t="s">
        <v>6772</v>
      </c>
      <c r="AE1386" t="s">
        <v>3526</v>
      </c>
      <c r="AF1386">
        <v>9</v>
      </c>
      <c r="AG1386">
        <v>1</v>
      </c>
      <c r="AH1386">
        <v>0</v>
      </c>
      <c r="AI1386">
        <v>333.07</v>
      </c>
      <c r="AL1386" t="s">
        <v>6801</v>
      </c>
      <c r="AM1386">
        <v>41600</v>
      </c>
      <c r="AQ1386" t="s">
        <v>6945</v>
      </c>
      <c r="AR1386" t="s">
        <v>6970</v>
      </c>
    </row>
    <row r="1387" spans="1:44">
      <c r="A1387" s="1">
        <f>HYPERLINK("https://lsnyc.legalserver.org/matter/dynamic-profile/view/1905818","19-1905818")</f>
        <v>0</v>
      </c>
      <c r="B1387" t="s">
        <v>71</v>
      </c>
      <c r="C1387" t="s">
        <v>228</v>
      </c>
      <c r="E1387" t="s">
        <v>1206</v>
      </c>
      <c r="F1387" t="s">
        <v>1262</v>
      </c>
      <c r="G1387" t="s">
        <v>2336</v>
      </c>
      <c r="H1387" t="s">
        <v>3221</v>
      </c>
      <c r="I1387" t="s">
        <v>3490</v>
      </c>
      <c r="J1387">
        <v>11212</v>
      </c>
      <c r="K1387" t="s">
        <v>3522</v>
      </c>
      <c r="L1387" t="s">
        <v>3525</v>
      </c>
      <c r="M1387" t="s">
        <v>4090</v>
      </c>
      <c r="N1387" t="s">
        <v>4109</v>
      </c>
      <c r="O1387" t="s">
        <v>4134</v>
      </c>
      <c r="Q1387" t="s">
        <v>4147</v>
      </c>
      <c r="R1387" t="s">
        <v>3522</v>
      </c>
      <c r="T1387" t="s">
        <v>4156</v>
      </c>
      <c r="U1387" t="s">
        <v>4168</v>
      </c>
      <c r="V1387" t="s">
        <v>308</v>
      </c>
      <c r="W1387">
        <v>1122</v>
      </c>
      <c r="X1387" t="s">
        <v>4193</v>
      </c>
      <c r="Y1387" t="s">
        <v>4201</v>
      </c>
      <c r="Z1387" t="s">
        <v>5381</v>
      </c>
      <c r="AA1387" t="s">
        <v>3562</v>
      </c>
      <c r="AC1387">
        <v>19</v>
      </c>
      <c r="AD1387" t="s">
        <v>6772</v>
      </c>
      <c r="AE1387" t="s">
        <v>3526</v>
      </c>
      <c r="AF1387">
        <v>3</v>
      </c>
      <c r="AG1387">
        <v>2</v>
      </c>
      <c r="AH1387">
        <v>0</v>
      </c>
      <c r="AI1387">
        <v>336.72</v>
      </c>
      <c r="AL1387" t="s">
        <v>6801</v>
      </c>
      <c r="AM1387">
        <v>56940</v>
      </c>
      <c r="AN1387" t="s">
        <v>6895</v>
      </c>
    </row>
    <row r="1388" spans="1:44">
      <c r="A1388" s="1">
        <f>HYPERLINK("https://lsnyc.legalserver.org/matter/dynamic-profile/view/1913897","19-1913897")</f>
        <v>0</v>
      </c>
      <c r="B1388" t="s">
        <v>65</v>
      </c>
      <c r="C1388" t="s">
        <v>199</v>
      </c>
      <c r="E1388" t="s">
        <v>1207</v>
      </c>
      <c r="F1388" t="s">
        <v>418</v>
      </c>
      <c r="G1388" t="s">
        <v>2274</v>
      </c>
      <c r="H1388" t="s">
        <v>3216</v>
      </c>
      <c r="I1388" t="s">
        <v>3490</v>
      </c>
      <c r="J1388">
        <v>11213</v>
      </c>
      <c r="K1388" t="s">
        <v>3522</v>
      </c>
      <c r="L1388" t="s">
        <v>3525</v>
      </c>
      <c r="O1388" t="s">
        <v>4134</v>
      </c>
      <c r="Q1388" t="s">
        <v>4147</v>
      </c>
      <c r="T1388" t="s">
        <v>4156</v>
      </c>
      <c r="V1388" t="s">
        <v>199</v>
      </c>
      <c r="W1388">
        <v>1207.2</v>
      </c>
      <c r="X1388" t="s">
        <v>4193</v>
      </c>
      <c r="Z1388" t="s">
        <v>5382</v>
      </c>
      <c r="AB1388" t="s">
        <v>6685</v>
      </c>
      <c r="AC1388">
        <v>23</v>
      </c>
      <c r="AF1388">
        <v>21</v>
      </c>
      <c r="AG1388">
        <v>2</v>
      </c>
      <c r="AH1388">
        <v>0</v>
      </c>
      <c r="AI1388">
        <v>337.08</v>
      </c>
      <c r="AL1388" t="s">
        <v>6801</v>
      </c>
      <c r="AM1388">
        <v>57000</v>
      </c>
    </row>
    <row r="1389" spans="1:44">
      <c r="A1389" s="1">
        <f>HYPERLINK("https://lsnyc.legalserver.org/matter/dynamic-profile/view/1910518","19-1910518")</f>
        <v>0</v>
      </c>
      <c r="B1389" t="s">
        <v>116</v>
      </c>
      <c r="C1389" t="s">
        <v>203</v>
      </c>
      <c r="E1389" t="s">
        <v>623</v>
      </c>
      <c r="F1389" t="s">
        <v>2088</v>
      </c>
      <c r="G1389" t="s">
        <v>3086</v>
      </c>
      <c r="H1389" t="s">
        <v>3219</v>
      </c>
      <c r="I1389" t="s">
        <v>3493</v>
      </c>
      <c r="J1389">
        <v>10467</v>
      </c>
      <c r="K1389" t="s">
        <v>3522</v>
      </c>
      <c r="L1389" t="s">
        <v>3525</v>
      </c>
      <c r="M1389" t="s">
        <v>4091</v>
      </c>
      <c r="N1389" t="s">
        <v>4107</v>
      </c>
      <c r="Q1389" t="s">
        <v>4147</v>
      </c>
      <c r="R1389" t="s">
        <v>3523</v>
      </c>
      <c r="T1389" t="s">
        <v>4156</v>
      </c>
      <c r="V1389" t="s">
        <v>196</v>
      </c>
      <c r="W1389">
        <v>752</v>
      </c>
      <c r="X1389" t="s">
        <v>4194</v>
      </c>
      <c r="Y1389" t="s">
        <v>4201</v>
      </c>
      <c r="Z1389" t="s">
        <v>5383</v>
      </c>
      <c r="AB1389" t="s">
        <v>6686</v>
      </c>
      <c r="AC1389">
        <v>59</v>
      </c>
      <c r="AD1389" t="s">
        <v>6772</v>
      </c>
      <c r="AE1389" t="s">
        <v>3526</v>
      </c>
      <c r="AF1389">
        <v>19</v>
      </c>
      <c r="AG1389">
        <v>1</v>
      </c>
      <c r="AH1389">
        <v>0</v>
      </c>
      <c r="AI1389">
        <v>340.27</v>
      </c>
      <c r="AL1389" t="s">
        <v>6801</v>
      </c>
      <c r="AM1389">
        <v>42500</v>
      </c>
    </row>
    <row r="1390" spans="1:44">
      <c r="A1390" s="1">
        <f>HYPERLINK("https://lsnyc.legalserver.org/matter/dynamic-profile/view/1898235","19-1898235")</f>
        <v>0</v>
      </c>
      <c r="B1390" t="s">
        <v>103</v>
      </c>
      <c r="C1390" t="s">
        <v>374</v>
      </c>
      <c r="E1390" t="s">
        <v>623</v>
      </c>
      <c r="F1390" t="s">
        <v>2088</v>
      </c>
      <c r="G1390" t="s">
        <v>3086</v>
      </c>
      <c r="H1390" t="s">
        <v>3219</v>
      </c>
      <c r="I1390" t="s">
        <v>3493</v>
      </c>
      <c r="J1390">
        <v>10467</v>
      </c>
      <c r="K1390" t="s">
        <v>3522</v>
      </c>
      <c r="L1390" t="s">
        <v>3525</v>
      </c>
      <c r="N1390" t="s">
        <v>4112</v>
      </c>
      <c r="O1390" t="s">
        <v>4133</v>
      </c>
      <c r="Q1390" t="s">
        <v>4147</v>
      </c>
      <c r="R1390" t="s">
        <v>3522</v>
      </c>
      <c r="T1390" t="s">
        <v>4156</v>
      </c>
      <c r="V1390" t="s">
        <v>192</v>
      </c>
      <c r="W1390">
        <v>752</v>
      </c>
      <c r="X1390" t="s">
        <v>4194</v>
      </c>
      <c r="Y1390" t="s">
        <v>4201</v>
      </c>
      <c r="Z1390" t="s">
        <v>5383</v>
      </c>
      <c r="AB1390" t="s">
        <v>6686</v>
      </c>
      <c r="AC1390">
        <v>59</v>
      </c>
      <c r="AD1390" t="s">
        <v>6772</v>
      </c>
      <c r="AE1390" t="s">
        <v>3526</v>
      </c>
      <c r="AF1390">
        <v>19</v>
      </c>
      <c r="AG1390">
        <v>1</v>
      </c>
      <c r="AH1390">
        <v>0</v>
      </c>
      <c r="AI1390">
        <v>340.27</v>
      </c>
      <c r="AL1390" t="s">
        <v>6801</v>
      </c>
      <c r="AM1390">
        <v>42500</v>
      </c>
      <c r="AN1390" t="s">
        <v>6896</v>
      </c>
    </row>
    <row r="1391" spans="1:44">
      <c r="A1391" s="1">
        <f>HYPERLINK("https://lsnyc.legalserver.org/matter/dynamic-profile/view/1915501","19-1915501")</f>
        <v>0</v>
      </c>
      <c r="B1391" t="s">
        <v>65</v>
      </c>
      <c r="C1391" t="s">
        <v>375</v>
      </c>
      <c r="E1391" t="s">
        <v>689</v>
      </c>
      <c r="F1391" t="s">
        <v>2089</v>
      </c>
      <c r="G1391" t="s">
        <v>2292</v>
      </c>
      <c r="H1391" t="s">
        <v>3287</v>
      </c>
      <c r="I1391" t="s">
        <v>3490</v>
      </c>
      <c r="J1391">
        <v>11226</v>
      </c>
      <c r="K1391" t="s">
        <v>3522</v>
      </c>
      <c r="L1391" t="s">
        <v>3525</v>
      </c>
      <c r="N1391" t="s">
        <v>4112</v>
      </c>
      <c r="O1391" t="s">
        <v>4133</v>
      </c>
      <c r="Q1391" t="s">
        <v>4147</v>
      </c>
      <c r="R1391" t="s">
        <v>3522</v>
      </c>
      <c r="T1391" t="s">
        <v>4156</v>
      </c>
      <c r="V1391" t="s">
        <v>219</v>
      </c>
      <c r="W1391">
        <v>0</v>
      </c>
      <c r="X1391" t="s">
        <v>4193</v>
      </c>
      <c r="Z1391" t="s">
        <v>5384</v>
      </c>
      <c r="AC1391">
        <v>6</v>
      </c>
      <c r="AD1391" t="s">
        <v>6772</v>
      </c>
      <c r="AF1391">
        <v>0</v>
      </c>
      <c r="AG1391">
        <v>2</v>
      </c>
      <c r="AH1391">
        <v>0</v>
      </c>
      <c r="AI1391">
        <v>340.8</v>
      </c>
      <c r="AL1391" t="s">
        <v>6801</v>
      </c>
      <c r="AM1391">
        <v>57630</v>
      </c>
    </row>
    <row r="1392" spans="1:44">
      <c r="A1392" s="1">
        <f>HYPERLINK("https://lsnyc.legalserver.org/matter/dynamic-profile/view/1902986","19-1902986")</f>
        <v>0</v>
      </c>
      <c r="B1392" t="s">
        <v>167</v>
      </c>
      <c r="C1392" t="s">
        <v>340</v>
      </c>
      <c r="D1392" t="s">
        <v>197</v>
      </c>
      <c r="E1392" t="s">
        <v>429</v>
      </c>
      <c r="F1392" t="s">
        <v>1928</v>
      </c>
      <c r="G1392" t="s">
        <v>3087</v>
      </c>
      <c r="H1392" t="s">
        <v>3464</v>
      </c>
      <c r="I1392" t="s">
        <v>3490</v>
      </c>
      <c r="J1392">
        <v>11216</v>
      </c>
      <c r="K1392" t="s">
        <v>3522</v>
      </c>
      <c r="L1392" t="s">
        <v>3525</v>
      </c>
      <c r="M1392" t="s">
        <v>4092</v>
      </c>
      <c r="N1392" t="s">
        <v>4119</v>
      </c>
      <c r="O1392" t="s">
        <v>4132</v>
      </c>
      <c r="P1392" t="s">
        <v>4139</v>
      </c>
      <c r="Q1392" t="s">
        <v>4147</v>
      </c>
      <c r="R1392" t="s">
        <v>3523</v>
      </c>
      <c r="T1392" t="s">
        <v>4166</v>
      </c>
      <c r="V1392" t="s">
        <v>246</v>
      </c>
      <c r="W1392">
        <v>0</v>
      </c>
      <c r="X1392" t="s">
        <v>4193</v>
      </c>
      <c r="Z1392" t="s">
        <v>5385</v>
      </c>
      <c r="AB1392" t="s">
        <v>6687</v>
      </c>
      <c r="AC1392">
        <v>65</v>
      </c>
      <c r="AF1392">
        <v>0</v>
      </c>
      <c r="AG1392">
        <v>1</v>
      </c>
      <c r="AH1392">
        <v>0</v>
      </c>
      <c r="AI1392">
        <v>345.88</v>
      </c>
      <c r="AL1392" t="s">
        <v>6801</v>
      </c>
      <c r="AM1392">
        <v>43200</v>
      </c>
    </row>
    <row r="1393" spans="1:40">
      <c r="A1393" s="1">
        <f>HYPERLINK("https://lsnyc.legalserver.org/matter/dynamic-profile/view/1887832","19-1887832")</f>
        <v>0</v>
      </c>
      <c r="B1393" t="s">
        <v>103</v>
      </c>
      <c r="C1393" t="s">
        <v>376</v>
      </c>
      <c r="E1393" t="s">
        <v>623</v>
      </c>
      <c r="F1393" t="s">
        <v>2088</v>
      </c>
      <c r="G1393" t="s">
        <v>3086</v>
      </c>
      <c r="H1393" t="s">
        <v>3219</v>
      </c>
      <c r="I1393" t="s">
        <v>3493</v>
      </c>
      <c r="J1393">
        <v>10467</v>
      </c>
      <c r="K1393" t="s">
        <v>3522</v>
      </c>
      <c r="L1393" t="s">
        <v>3525</v>
      </c>
      <c r="M1393" t="s">
        <v>4093</v>
      </c>
      <c r="N1393" t="s">
        <v>4108</v>
      </c>
      <c r="O1393" t="s">
        <v>4134</v>
      </c>
      <c r="Q1393" t="s">
        <v>4147</v>
      </c>
      <c r="R1393" t="s">
        <v>3522</v>
      </c>
      <c r="T1393" t="s">
        <v>4156</v>
      </c>
      <c r="V1393" t="s">
        <v>192</v>
      </c>
      <c r="W1393">
        <v>752</v>
      </c>
      <c r="X1393" t="s">
        <v>4194</v>
      </c>
      <c r="Y1393" t="s">
        <v>4204</v>
      </c>
      <c r="Z1393" t="s">
        <v>5383</v>
      </c>
      <c r="AB1393" t="s">
        <v>6686</v>
      </c>
      <c r="AC1393">
        <v>59</v>
      </c>
      <c r="AD1393" t="s">
        <v>6772</v>
      </c>
      <c r="AE1393" t="s">
        <v>3526</v>
      </c>
      <c r="AF1393">
        <v>19</v>
      </c>
      <c r="AG1393">
        <v>1</v>
      </c>
      <c r="AH1393">
        <v>0</v>
      </c>
      <c r="AI1393">
        <v>350.08</v>
      </c>
      <c r="AJ1393" t="s">
        <v>269</v>
      </c>
      <c r="AK1393" t="s">
        <v>6799</v>
      </c>
      <c r="AL1393" t="s">
        <v>6801</v>
      </c>
      <c r="AM1393">
        <v>42500</v>
      </c>
    </row>
    <row r="1394" spans="1:40">
      <c r="A1394" s="1">
        <f>HYPERLINK("https://lsnyc.legalserver.org/matter/dynamic-profile/view/1904601","19-1904601")</f>
        <v>0</v>
      </c>
      <c r="B1394" t="s">
        <v>92</v>
      </c>
      <c r="C1394" t="s">
        <v>261</v>
      </c>
      <c r="E1394" t="s">
        <v>402</v>
      </c>
      <c r="F1394" t="s">
        <v>679</v>
      </c>
      <c r="G1394" t="s">
        <v>2255</v>
      </c>
      <c r="H1394">
        <v>4</v>
      </c>
      <c r="I1394" t="s">
        <v>3495</v>
      </c>
      <c r="J1394">
        <v>10034</v>
      </c>
      <c r="K1394" t="s">
        <v>3522</v>
      </c>
      <c r="L1394" t="s">
        <v>3525</v>
      </c>
      <c r="O1394" t="s">
        <v>4136</v>
      </c>
      <c r="Q1394" t="s">
        <v>4147</v>
      </c>
      <c r="R1394" t="s">
        <v>3522</v>
      </c>
      <c r="T1394" t="s">
        <v>4156</v>
      </c>
      <c r="V1394" t="s">
        <v>261</v>
      </c>
      <c r="W1394">
        <v>893</v>
      </c>
      <c r="X1394" t="s">
        <v>4196</v>
      </c>
      <c r="Y1394" t="s">
        <v>4205</v>
      </c>
      <c r="Z1394" t="s">
        <v>5141</v>
      </c>
      <c r="AB1394" t="s">
        <v>6688</v>
      </c>
      <c r="AC1394">
        <v>25</v>
      </c>
      <c r="AD1394" t="s">
        <v>6772</v>
      </c>
      <c r="AE1394" t="s">
        <v>3526</v>
      </c>
      <c r="AF1394">
        <v>38</v>
      </c>
      <c r="AG1394">
        <v>1</v>
      </c>
      <c r="AH1394">
        <v>0</v>
      </c>
      <c r="AI1394">
        <v>352.28</v>
      </c>
      <c r="AL1394" t="s">
        <v>6802</v>
      </c>
      <c r="AM1394">
        <v>44000</v>
      </c>
    </row>
    <row r="1395" spans="1:40">
      <c r="A1395" s="1">
        <f>HYPERLINK("https://lsnyc.legalserver.org/matter/dynamic-profile/view/1912810","19-1912810")</f>
        <v>0</v>
      </c>
      <c r="B1395" t="s">
        <v>73</v>
      </c>
      <c r="C1395" t="s">
        <v>253</v>
      </c>
      <c r="D1395" t="s">
        <v>297</v>
      </c>
      <c r="E1395" t="s">
        <v>1208</v>
      </c>
      <c r="F1395" t="s">
        <v>2090</v>
      </c>
      <c r="G1395" t="s">
        <v>3088</v>
      </c>
      <c r="I1395" t="s">
        <v>3493</v>
      </c>
      <c r="J1395">
        <v>10457</v>
      </c>
      <c r="K1395" t="s">
        <v>3522</v>
      </c>
      <c r="L1395" t="s">
        <v>3525</v>
      </c>
      <c r="N1395" t="s">
        <v>3554</v>
      </c>
      <c r="O1395" t="s">
        <v>4132</v>
      </c>
      <c r="P1395" t="s">
        <v>4139</v>
      </c>
      <c r="Q1395" t="s">
        <v>4147</v>
      </c>
      <c r="R1395" t="s">
        <v>3523</v>
      </c>
      <c r="T1395" t="s">
        <v>4156</v>
      </c>
      <c r="V1395" t="s">
        <v>192</v>
      </c>
      <c r="W1395">
        <v>1350</v>
      </c>
      <c r="X1395" t="s">
        <v>4194</v>
      </c>
      <c r="Y1395" t="s">
        <v>4206</v>
      </c>
      <c r="Z1395" t="s">
        <v>5386</v>
      </c>
      <c r="AB1395" t="s">
        <v>6689</v>
      </c>
      <c r="AC1395">
        <v>0</v>
      </c>
      <c r="AE1395" t="s">
        <v>3526</v>
      </c>
      <c r="AF1395">
        <v>3</v>
      </c>
      <c r="AG1395">
        <v>1</v>
      </c>
      <c r="AH1395">
        <v>1</v>
      </c>
      <c r="AI1395">
        <v>354.82</v>
      </c>
      <c r="AL1395" t="s">
        <v>6802</v>
      </c>
      <c r="AM1395">
        <v>60000</v>
      </c>
    </row>
    <row r="1396" spans="1:40">
      <c r="A1396" s="1">
        <f>HYPERLINK("https://lsnyc.legalserver.org/matter/dynamic-profile/view/1904308","19-1904308")</f>
        <v>0</v>
      </c>
      <c r="B1396" t="s">
        <v>92</v>
      </c>
      <c r="C1396" t="s">
        <v>179</v>
      </c>
      <c r="E1396" t="s">
        <v>1209</v>
      </c>
      <c r="F1396" t="s">
        <v>1379</v>
      </c>
      <c r="G1396" t="s">
        <v>2366</v>
      </c>
      <c r="H1396" t="s">
        <v>3161</v>
      </c>
      <c r="I1396" t="s">
        <v>3495</v>
      </c>
      <c r="J1396">
        <v>10034</v>
      </c>
      <c r="K1396" t="s">
        <v>3522</v>
      </c>
      <c r="L1396" t="s">
        <v>3525</v>
      </c>
      <c r="N1396" t="s">
        <v>4113</v>
      </c>
      <c r="O1396" t="s">
        <v>4136</v>
      </c>
      <c r="Q1396" t="s">
        <v>4147</v>
      </c>
      <c r="R1396" t="s">
        <v>3523</v>
      </c>
      <c r="T1396" t="s">
        <v>4156</v>
      </c>
      <c r="V1396" t="s">
        <v>179</v>
      </c>
      <c r="W1396">
        <v>2100</v>
      </c>
      <c r="X1396" t="s">
        <v>4196</v>
      </c>
      <c r="Y1396" t="s">
        <v>4205</v>
      </c>
      <c r="Z1396" t="s">
        <v>5387</v>
      </c>
      <c r="AC1396">
        <v>69</v>
      </c>
      <c r="AD1396" t="s">
        <v>6772</v>
      </c>
      <c r="AE1396" t="s">
        <v>3526</v>
      </c>
      <c r="AF1396">
        <v>8</v>
      </c>
      <c r="AG1396">
        <v>2</v>
      </c>
      <c r="AH1396">
        <v>0</v>
      </c>
      <c r="AI1396">
        <v>354.82</v>
      </c>
      <c r="AL1396" t="s">
        <v>6801</v>
      </c>
      <c r="AM1396">
        <v>60000</v>
      </c>
    </row>
    <row r="1397" spans="1:40">
      <c r="A1397" s="1">
        <f>HYPERLINK("https://lsnyc.legalserver.org/matter/dynamic-profile/view/1906399","19-1906399")</f>
        <v>0</v>
      </c>
      <c r="B1397" t="s">
        <v>93</v>
      </c>
      <c r="C1397" t="s">
        <v>241</v>
      </c>
      <c r="E1397" t="s">
        <v>1210</v>
      </c>
      <c r="F1397" t="s">
        <v>1979</v>
      </c>
      <c r="G1397" t="s">
        <v>2849</v>
      </c>
      <c r="H1397">
        <v>55</v>
      </c>
      <c r="I1397" t="s">
        <v>3495</v>
      </c>
      <c r="J1397">
        <v>10032</v>
      </c>
      <c r="K1397" t="s">
        <v>3522</v>
      </c>
      <c r="L1397" t="s">
        <v>3525</v>
      </c>
      <c r="N1397" t="s">
        <v>4108</v>
      </c>
      <c r="O1397" t="s">
        <v>4133</v>
      </c>
      <c r="Q1397" t="s">
        <v>4147</v>
      </c>
      <c r="R1397" t="s">
        <v>3522</v>
      </c>
      <c r="T1397" t="s">
        <v>4156</v>
      </c>
      <c r="V1397" t="s">
        <v>241</v>
      </c>
      <c r="W1397">
        <v>2395</v>
      </c>
      <c r="X1397" t="s">
        <v>4196</v>
      </c>
      <c r="Y1397" t="s">
        <v>4205</v>
      </c>
      <c r="Z1397" t="s">
        <v>5388</v>
      </c>
      <c r="AB1397" t="s">
        <v>6690</v>
      </c>
      <c r="AC1397">
        <v>46</v>
      </c>
      <c r="AD1397" t="s">
        <v>6772</v>
      </c>
      <c r="AE1397" t="s">
        <v>3526</v>
      </c>
      <c r="AF1397">
        <v>2</v>
      </c>
      <c r="AG1397">
        <v>2</v>
      </c>
      <c r="AH1397">
        <v>0</v>
      </c>
      <c r="AI1397">
        <v>354.82</v>
      </c>
      <c r="AJ1397" t="s">
        <v>333</v>
      </c>
      <c r="AK1397" t="s">
        <v>6799</v>
      </c>
      <c r="AL1397" t="s">
        <v>6801</v>
      </c>
      <c r="AM1397">
        <v>60000</v>
      </c>
    </row>
    <row r="1398" spans="1:40">
      <c r="A1398" s="1">
        <f>HYPERLINK("https://lsnyc.legalserver.org/matter/dynamic-profile/view/1897234","19-1897234")</f>
        <v>0</v>
      </c>
      <c r="B1398" t="s">
        <v>55</v>
      </c>
      <c r="C1398" t="s">
        <v>377</v>
      </c>
      <c r="E1398" t="s">
        <v>433</v>
      </c>
      <c r="F1398" t="s">
        <v>1277</v>
      </c>
      <c r="G1398" t="s">
        <v>3089</v>
      </c>
      <c r="H1398" t="s">
        <v>3465</v>
      </c>
      <c r="I1398" t="s">
        <v>3490</v>
      </c>
      <c r="J1398">
        <v>11212</v>
      </c>
      <c r="K1398" t="s">
        <v>3522</v>
      </c>
      <c r="L1398" t="s">
        <v>3525</v>
      </c>
      <c r="M1398" t="s">
        <v>4094</v>
      </c>
      <c r="N1398" t="s">
        <v>4107</v>
      </c>
      <c r="O1398" t="s">
        <v>4134</v>
      </c>
      <c r="Q1398" t="s">
        <v>4147</v>
      </c>
      <c r="R1398" t="s">
        <v>3523</v>
      </c>
      <c r="T1398" t="s">
        <v>4156</v>
      </c>
      <c r="U1398" t="s">
        <v>4168</v>
      </c>
      <c r="V1398" t="s">
        <v>191</v>
      </c>
      <c r="W1398">
        <v>1154.67</v>
      </c>
      <c r="X1398" t="s">
        <v>4193</v>
      </c>
      <c r="Y1398" t="s">
        <v>4200</v>
      </c>
      <c r="Z1398" t="s">
        <v>5389</v>
      </c>
      <c r="AB1398" t="s">
        <v>6691</v>
      </c>
      <c r="AC1398">
        <v>172</v>
      </c>
      <c r="AD1398" t="s">
        <v>6772</v>
      </c>
      <c r="AE1398" t="s">
        <v>3526</v>
      </c>
      <c r="AF1398">
        <v>11</v>
      </c>
      <c r="AG1398">
        <v>4</v>
      </c>
      <c r="AH1398">
        <v>0</v>
      </c>
      <c r="AI1398">
        <v>355.11</v>
      </c>
      <c r="AL1398" t="s">
        <v>6801</v>
      </c>
      <c r="AM1398">
        <v>91440</v>
      </c>
    </row>
    <row r="1399" spans="1:40">
      <c r="A1399" s="1">
        <f>HYPERLINK("https://lsnyc.legalserver.org/matter/dynamic-profile/view/1913294","19-1913294")</f>
        <v>0</v>
      </c>
      <c r="B1399" t="s">
        <v>54</v>
      </c>
      <c r="C1399" t="s">
        <v>359</v>
      </c>
      <c r="E1399" t="s">
        <v>1211</v>
      </c>
      <c r="F1399" t="s">
        <v>2091</v>
      </c>
      <c r="G1399" t="s">
        <v>2212</v>
      </c>
      <c r="H1399">
        <v>27</v>
      </c>
      <c r="I1399" t="s">
        <v>3490</v>
      </c>
      <c r="J1399">
        <v>11213</v>
      </c>
      <c r="K1399" t="s">
        <v>3522</v>
      </c>
      <c r="L1399" t="s">
        <v>3525</v>
      </c>
      <c r="N1399" t="s">
        <v>4115</v>
      </c>
      <c r="O1399" t="s">
        <v>4134</v>
      </c>
      <c r="Q1399" t="s">
        <v>4147</v>
      </c>
      <c r="R1399" t="s">
        <v>3522</v>
      </c>
      <c r="T1399" t="s">
        <v>4156</v>
      </c>
      <c r="U1399" t="s">
        <v>4168</v>
      </c>
      <c r="V1399" t="s">
        <v>4178</v>
      </c>
      <c r="W1399">
        <v>861.2</v>
      </c>
      <c r="X1399" t="s">
        <v>4193</v>
      </c>
      <c r="Y1399" t="s">
        <v>4206</v>
      </c>
      <c r="Z1399" t="s">
        <v>5390</v>
      </c>
      <c r="AA1399" t="s">
        <v>3526</v>
      </c>
      <c r="AB1399" t="s">
        <v>6692</v>
      </c>
      <c r="AC1399">
        <v>31</v>
      </c>
      <c r="AD1399" t="s">
        <v>6772</v>
      </c>
      <c r="AE1399" t="s">
        <v>3526</v>
      </c>
      <c r="AF1399">
        <v>34</v>
      </c>
      <c r="AG1399">
        <v>2</v>
      </c>
      <c r="AH1399">
        <v>0</v>
      </c>
      <c r="AI1399">
        <v>359.55</v>
      </c>
      <c r="AL1399" t="s">
        <v>6801</v>
      </c>
      <c r="AM1399">
        <v>60800</v>
      </c>
      <c r="AN1399" t="s">
        <v>6897</v>
      </c>
    </row>
    <row r="1400" spans="1:40">
      <c r="A1400" s="1">
        <f>HYPERLINK("https://lsnyc.legalserver.org/matter/dynamic-profile/view/1914790","19-1914790")</f>
        <v>0</v>
      </c>
      <c r="B1400" t="s">
        <v>67</v>
      </c>
      <c r="C1400" t="s">
        <v>267</v>
      </c>
      <c r="E1400" t="s">
        <v>1211</v>
      </c>
      <c r="F1400" t="s">
        <v>2091</v>
      </c>
      <c r="G1400" t="s">
        <v>2212</v>
      </c>
      <c r="H1400">
        <v>27</v>
      </c>
      <c r="I1400" t="s">
        <v>3490</v>
      </c>
      <c r="J1400">
        <v>11213</v>
      </c>
      <c r="K1400" t="s">
        <v>3522</v>
      </c>
      <c r="L1400" t="s">
        <v>3525</v>
      </c>
      <c r="M1400" t="s">
        <v>3847</v>
      </c>
      <c r="N1400" t="s">
        <v>4115</v>
      </c>
      <c r="O1400" t="s">
        <v>4134</v>
      </c>
      <c r="Q1400" t="s">
        <v>4147</v>
      </c>
      <c r="R1400" t="s">
        <v>3522</v>
      </c>
      <c r="T1400" t="s">
        <v>4156</v>
      </c>
      <c r="U1400" t="s">
        <v>4168</v>
      </c>
      <c r="V1400" t="s">
        <v>4178</v>
      </c>
      <c r="W1400">
        <v>861.2</v>
      </c>
      <c r="X1400" t="s">
        <v>4193</v>
      </c>
      <c r="Y1400" t="s">
        <v>4206</v>
      </c>
      <c r="Z1400" t="s">
        <v>5390</v>
      </c>
      <c r="AA1400" t="s">
        <v>3562</v>
      </c>
      <c r="AB1400" t="s">
        <v>6692</v>
      </c>
      <c r="AC1400">
        <v>31</v>
      </c>
      <c r="AD1400" t="s">
        <v>6772</v>
      </c>
      <c r="AE1400" t="s">
        <v>3526</v>
      </c>
      <c r="AF1400">
        <v>34</v>
      </c>
      <c r="AG1400">
        <v>2</v>
      </c>
      <c r="AH1400">
        <v>0</v>
      </c>
      <c r="AI1400">
        <v>359.55</v>
      </c>
      <c r="AK1400" t="s">
        <v>6799</v>
      </c>
      <c r="AL1400" t="s">
        <v>6801</v>
      </c>
      <c r="AM1400">
        <v>60800</v>
      </c>
      <c r="AN1400" t="s">
        <v>6898</v>
      </c>
    </row>
    <row r="1401" spans="1:40">
      <c r="A1401" s="1">
        <f>HYPERLINK("https://lsnyc.legalserver.org/matter/dynamic-profile/view/1905415","19-1905415")</f>
        <v>0</v>
      </c>
      <c r="B1401" t="s">
        <v>83</v>
      </c>
      <c r="C1401" t="s">
        <v>266</v>
      </c>
      <c r="D1401" t="s">
        <v>276</v>
      </c>
      <c r="E1401" t="s">
        <v>983</v>
      </c>
      <c r="F1401" t="s">
        <v>1446</v>
      </c>
      <c r="G1401" t="s">
        <v>3090</v>
      </c>
      <c r="H1401" t="s">
        <v>3155</v>
      </c>
      <c r="I1401" t="s">
        <v>3493</v>
      </c>
      <c r="J1401">
        <v>10458</v>
      </c>
      <c r="K1401" t="s">
        <v>3522</v>
      </c>
      <c r="L1401" t="s">
        <v>3525</v>
      </c>
      <c r="N1401" t="s">
        <v>4112</v>
      </c>
      <c r="O1401" t="s">
        <v>4135</v>
      </c>
      <c r="P1401" t="s">
        <v>4142</v>
      </c>
      <c r="Q1401" t="s">
        <v>4147</v>
      </c>
      <c r="R1401" t="s">
        <v>3523</v>
      </c>
      <c r="T1401" t="s">
        <v>4156</v>
      </c>
      <c r="V1401" t="s">
        <v>241</v>
      </c>
      <c r="W1401">
        <v>814.0599999999999</v>
      </c>
      <c r="X1401" t="s">
        <v>4194</v>
      </c>
      <c r="Y1401" t="s">
        <v>4206</v>
      </c>
      <c r="Z1401" t="s">
        <v>5391</v>
      </c>
      <c r="AB1401" t="s">
        <v>6693</v>
      </c>
      <c r="AC1401">
        <v>54</v>
      </c>
      <c r="AD1401" t="s">
        <v>6772</v>
      </c>
      <c r="AE1401" t="s">
        <v>3526</v>
      </c>
      <c r="AF1401">
        <v>40</v>
      </c>
      <c r="AG1401">
        <v>1</v>
      </c>
      <c r="AH1401">
        <v>0</v>
      </c>
      <c r="AI1401">
        <v>360.29</v>
      </c>
      <c r="AL1401" t="s">
        <v>6802</v>
      </c>
      <c r="AM1401">
        <v>45000</v>
      </c>
    </row>
    <row r="1402" spans="1:40">
      <c r="A1402" s="1">
        <f>HYPERLINK("https://lsnyc.legalserver.org/matter/dynamic-profile/view/1908410","19-1908410")</f>
        <v>0</v>
      </c>
      <c r="B1402" t="s">
        <v>94</v>
      </c>
      <c r="C1402" t="s">
        <v>303</v>
      </c>
      <c r="D1402" t="s">
        <v>220</v>
      </c>
      <c r="E1402" t="s">
        <v>996</v>
      </c>
      <c r="F1402" t="s">
        <v>1615</v>
      </c>
      <c r="G1402" t="s">
        <v>2396</v>
      </c>
      <c r="H1402" t="s">
        <v>3180</v>
      </c>
      <c r="I1402" t="s">
        <v>3495</v>
      </c>
      <c r="J1402">
        <v>10035</v>
      </c>
      <c r="K1402" t="s">
        <v>3522</v>
      </c>
      <c r="L1402" t="s">
        <v>3525</v>
      </c>
      <c r="N1402" t="s">
        <v>3554</v>
      </c>
      <c r="O1402" t="s">
        <v>4135</v>
      </c>
      <c r="P1402" t="s">
        <v>4142</v>
      </c>
      <c r="Q1402" t="s">
        <v>4147</v>
      </c>
      <c r="R1402" t="s">
        <v>3522</v>
      </c>
      <c r="T1402" t="s">
        <v>4156</v>
      </c>
      <c r="U1402" t="s">
        <v>4168</v>
      </c>
      <c r="V1402" t="s">
        <v>298</v>
      </c>
      <c r="W1402">
        <v>2487</v>
      </c>
      <c r="X1402" t="s">
        <v>4196</v>
      </c>
      <c r="Y1402" t="s">
        <v>4198</v>
      </c>
      <c r="Z1402" t="s">
        <v>5392</v>
      </c>
      <c r="AB1402" t="s">
        <v>6694</v>
      </c>
      <c r="AC1402">
        <v>72</v>
      </c>
      <c r="AD1402" t="s">
        <v>6772</v>
      </c>
      <c r="AE1402" t="s">
        <v>3526</v>
      </c>
      <c r="AF1402">
        <v>11</v>
      </c>
      <c r="AG1402">
        <v>1</v>
      </c>
      <c r="AH1402">
        <v>0</v>
      </c>
      <c r="AI1402">
        <v>360.29</v>
      </c>
      <c r="AL1402" t="s">
        <v>6801</v>
      </c>
      <c r="AM1402">
        <v>45000</v>
      </c>
    </row>
    <row r="1403" spans="1:40">
      <c r="A1403" s="1">
        <f>HYPERLINK("https://lsnyc.legalserver.org/matter/dynamic-profile/view/1911945","19-1911945")</f>
        <v>0</v>
      </c>
      <c r="B1403" t="s">
        <v>89</v>
      </c>
      <c r="C1403" t="s">
        <v>251</v>
      </c>
      <c r="E1403" t="s">
        <v>642</v>
      </c>
      <c r="F1403" t="s">
        <v>838</v>
      </c>
      <c r="G1403" t="s">
        <v>2876</v>
      </c>
      <c r="H1403" t="s">
        <v>3157</v>
      </c>
      <c r="I1403" t="s">
        <v>3495</v>
      </c>
      <c r="J1403">
        <v>10034</v>
      </c>
      <c r="K1403" t="s">
        <v>3522</v>
      </c>
      <c r="L1403" t="s">
        <v>3525</v>
      </c>
      <c r="O1403" t="s">
        <v>4134</v>
      </c>
      <c r="Q1403" t="s">
        <v>4147</v>
      </c>
      <c r="R1403" t="s">
        <v>3522</v>
      </c>
      <c r="T1403" t="s">
        <v>4156</v>
      </c>
      <c r="V1403" t="s">
        <v>251</v>
      </c>
      <c r="W1403">
        <v>2430</v>
      </c>
      <c r="X1403" t="s">
        <v>4196</v>
      </c>
      <c r="Y1403" t="s">
        <v>4201</v>
      </c>
      <c r="Z1403" t="s">
        <v>5393</v>
      </c>
      <c r="AB1403" t="s">
        <v>6695</v>
      </c>
      <c r="AC1403">
        <v>43</v>
      </c>
      <c r="AD1403" t="s">
        <v>6772</v>
      </c>
      <c r="AE1403" t="s">
        <v>3526</v>
      </c>
      <c r="AF1403">
        <v>3</v>
      </c>
      <c r="AG1403">
        <v>3</v>
      </c>
      <c r="AH1403">
        <v>2</v>
      </c>
      <c r="AI1403">
        <v>361.14</v>
      </c>
      <c r="AL1403" t="s">
        <v>6801</v>
      </c>
      <c r="AM1403">
        <v>108956.44</v>
      </c>
    </row>
    <row r="1404" spans="1:40">
      <c r="A1404" s="1">
        <f>HYPERLINK("https://lsnyc.legalserver.org/matter/dynamic-profile/view/1902279","19-1902279")</f>
        <v>0</v>
      </c>
      <c r="B1404" t="s">
        <v>61</v>
      </c>
      <c r="C1404" t="s">
        <v>180</v>
      </c>
      <c r="D1404" t="s">
        <v>237</v>
      </c>
      <c r="E1404" t="s">
        <v>1212</v>
      </c>
      <c r="F1404" t="s">
        <v>2092</v>
      </c>
      <c r="G1404" t="s">
        <v>3091</v>
      </c>
      <c r="H1404" t="s">
        <v>3412</v>
      </c>
      <c r="I1404" t="s">
        <v>3490</v>
      </c>
      <c r="J1404">
        <v>11226</v>
      </c>
      <c r="K1404" t="s">
        <v>3522</v>
      </c>
      <c r="L1404" t="s">
        <v>3525</v>
      </c>
      <c r="M1404" t="s">
        <v>3553</v>
      </c>
      <c r="N1404" t="s">
        <v>3554</v>
      </c>
      <c r="O1404" t="s">
        <v>4135</v>
      </c>
      <c r="P1404" t="s">
        <v>4139</v>
      </c>
      <c r="Q1404" t="s">
        <v>4147</v>
      </c>
      <c r="R1404" t="s">
        <v>3523</v>
      </c>
      <c r="T1404" t="s">
        <v>4156</v>
      </c>
      <c r="V1404" t="s">
        <v>250</v>
      </c>
      <c r="W1404">
        <v>1462</v>
      </c>
      <c r="X1404" t="s">
        <v>4193</v>
      </c>
      <c r="Y1404" t="s">
        <v>4205</v>
      </c>
      <c r="Z1404" t="s">
        <v>4266</v>
      </c>
      <c r="AB1404" t="s">
        <v>6696</v>
      </c>
      <c r="AC1404">
        <v>42</v>
      </c>
      <c r="AD1404" t="s">
        <v>6772</v>
      </c>
      <c r="AE1404" t="s">
        <v>3526</v>
      </c>
      <c r="AF1404">
        <v>4</v>
      </c>
      <c r="AG1404">
        <v>1</v>
      </c>
      <c r="AH1404">
        <v>0</v>
      </c>
      <c r="AI1404">
        <v>364.29</v>
      </c>
      <c r="AL1404" t="s">
        <v>6801</v>
      </c>
      <c r="AM1404">
        <v>45500</v>
      </c>
    </row>
    <row r="1405" spans="1:40">
      <c r="A1405" s="1">
        <f>HYPERLINK("https://lsnyc.legalserver.org/matter/dynamic-profile/view/1916500","19-1916500")</f>
        <v>0</v>
      </c>
      <c r="B1405" t="s">
        <v>52</v>
      </c>
      <c r="C1405" t="s">
        <v>297</v>
      </c>
      <c r="E1405" t="s">
        <v>662</v>
      </c>
      <c r="F1405" t="s">
        <v>2093</v>
      </c>
      <c r="G1405" t="s">
        <v>2640</v>
      </c>
      <c r="H1405" t="s">
        <v>3189</v>
      </c>
      <c r="I1405" t="s">
        <v>3490</v>
      </c>
      <c r="J1405">
        <v>11220</v>
      </c>
      <c r="K1405" t="s">
        <v>3522</v>
      </c>
      <c r="L1405" t="s">
        <v>3525</v>
      </c>
      <c r="N1405" t="s">
        <v>4115</v>
      </c>
      <c r="O1405" t="s">
        <v>4134</v>
      </c>
      <c r="Q1405" t="s">
        <v>4147</v>
      </c>
      <c r="R1405" t="s">
        <v>3522</v>
      </c>
      <c r="T1405" t="s">
        <v>4156</v>
      </c>
      <c r="V1405" t="s">
        <v>208</v>
      </c>
      <c r="W1405">
        <v>1014.8</v>
      </c>
      <c r="X1405" t="s">
        <v>4193</v>
      </c>
      <c r="Z1405" t="s">
        <v>5394</v>
      </c>
      <c r="AC1405">
        <v>54</v>
      </c>
      <c r="AD1405" t="s">
        <v>6772</v>
      </c>
      <c r="AF1405">
        <v>34</v>
      </c>
      <c r="AG1405">
        <v>3</v>
      </c>
      <c r="AH1405">
        <v>0</v>
      </c>
      <c r="AI1405">
        <v>365.68</v>
      </c>
      <c r="AL1405" t="s">
        <v>6801</v>
      </c>
      <c r="AM1405">
        <v>78000</v>
      </c>
    </row>
    <row r="1406" spans="1:40">
      <c r="A1406" s="1">
        <f>HYPERLINK("https://lsnyc.legalserver.org/matter/dynamic-profile/view/1916949","19-1916949")</f>
        <v>0</v>
      </c>
      <c r="B1406" t="s">
        <v>115</v>
      </c>
      <c r="C1406" t="s">
        <v>242</v>
      </c>
      <c r="E1406" t="s">
        <v>393</v>
      </c>
      <c r="F1406" t="s">
        <v>2094</v>
      </c>
      <c r="G1406" t="s">
        <v>3092</v>
      </c>
      <c r="H1406" t="s">
        <v>3155</v>
      </c>
      <c r="I1406" t="s">
        <v>3495</v>
      </c>
      <c r="J1406">
        <v>10033</v>
      </c>
      <c r="K1406" t="s">
        <v>3522</v>
      </c>
      <c r="L1406" t="s">
        <v>3525</v>
      </c>
      <c r="O1406" t="s">
        <v>4136</v>
      </c>
      <c r="Q1406" t="s">
        <v>4147</v>
      </c>
      <c r="R1406" t="s">
        <v>3523</v>
      </c>
      <c r="T1406" t="s">
        <v>4156</v>
      </c>
      <c r="V1406" t="s">
        <v>242</v>
      </c>
      <c r="W1406">
        <v>1240</v>
      </c>
      <c r="X1406" t="s">
        <v>4196</v>
      </c>
      <c r="Y1406" t="s">
        <v>4198</v>
      </c>
      <c r="Z1406" t="s">
        <v>5395</v>
      </c>
      <c r="AC1406">
        <v>26</v>
      </c>
      <c r="AD1406" t="s">
        <v>6772</v>
      </c>
      <c r="AE1406" t="s">
        <v>3526</v>
      </c>
      <c r="AF1406">
        <v>12</v>
      </c>
      <c r="AG1406">
        <v>2</v>
      </c>
      <c r="AH1406">
        <v>1</v>
      </c>
      <c r="AI1406">
        <v>365.68</v>
      </c>
      <c r="AL1406" t="s">
        <v>6801</v>
      </c>
      <c r="AM1406">
        <v>78000</v>
      </c>
    </row>
    <row r="1407" spans="1:40">
      <c r="A1407" s="1">
        <f>HYPERLINK("https://lsnyc.legalserver.org/matter/dynamic-profile/view/1909013","19-1909013")</f>
        <v>0</v>
      </c>
      <c r="B1407" t="s">
        <v>93</v>
      </c>
      <c r="C1407" t="s">
        <v>275</v>
      </c>
      <c r="E1407" t="s">
        <v>572</v>
      </c>
      <c r="F1407" t="s">
        <v>2095</v>
      </c>
      <c r="G1407" t="s">
        <v>2502</v>
      </c>
      <c r="H1407" t="s">
        <v>3199</v>
      </c>
      <c r="I1407" t="s">
        <v>3495</v>
      </c>
      <c r="J1407">
        <v>10040</v>
      </c>
      <c r="K1407" t="s">
        <v>3522</v>
      </c>
      <c r="L1407" t="s">
        <v>3525</v>
      </c>
      <c r="N1407" t="s">
        <v>4108</v>
      </c>
      <c r="O1407" t="s">
        <v>4134</v>
      </c>
      <c r="Q1407" t="s">
        <v>4147</v>
      </c>
      <c r="R1407" t="s">
        <v>3522</v>
      </c>
      <c r="T1407" t="s">
        <v>4156</v>
      </c>
      <c r="V1407" t="s">
        <v>275</v>
      </c>
      <c r="W1407">
        <v>1611</v>
      </c>
      <c r="X1407" t="s">
        <v>4196</v>
      </c>
      <c r="Y1407" t="s">
        <v>4205</v>
      </c>
      <c r="Z1407" t="s">
        <v>5396</v>
      </c>
      <c r="AB1407" t="s">
        <v>6697</v>
      </c>
      <c r="AC1407">
        <v>77</v>
      </c>
      <c r="AD1407" t="s">
        <v>6772</v>
      </c>
      <c r="AE1407" t="s">
        <v>3526</v>
      </c>
      <c r="AF1407">
        <v>6</v>
      </c>
      <c r="AG1407">
        <v>2</v>
      </c>
      <c r="AH1407">
        <v>0</v>
      </c>
      <c r="AI1407">
        <v>366.65</v>
      </c>
      <c r="AJ1407" t="s">
        <v>333</v>
      </c>
      <c r="AK1407" t="s">
        <v>6799</v>
      </c>
      <c r="AL1407" t="s">
        <v>6801</v>
      </c>
      <c r="AM1407">
        <v>62000</v>
      </c>
    </row>
    <row r="1408" spans="1:40">
      <c r="A1408" s="1">
        <f>HYPERLINK("https://lsnyc.legalserver.org/matter/dynamic-profile/view/1914022","19-1914022")</f>
        <v>0</v>
      </c>
      <c r="B1408" t="s">
        <v>65</v>
      </c>
      <c r="C1408" t="s">
        <v>263</v>
      </c>
      <c r="E1408" t="s">
        <v>1213</v>
      </c>
      <c r="F1408" t="s">
        <v>2096</v>
      </c>
      <c r="G1408" t="s">
        <v>3093</v>
      </c>
      <c r="H1408" t="s">
        <v>3246</v>
      </c>
      <c r="I1408" t="s">
        <v>3490</v>
      </c>
      <c r="J1408">
        <v>11210</v>
      </c>
      <c r="K1408" t="s">
        <v>3522</v>
      </c>
      <c r="L1408" t="s">
        <v>3525</v>
      </c>
      <c r="O1408" t="s">
        <v>4133</v>
      </c>
      <c r="Q1408" t="s">
        <v>4147</v>
      </c>
      <c r="R1408" t="s">
        <v>3523</v>
      </c>
      <c r="T1408" t="s">
        <v>4156</v>
      </c>
      <c r="V1408" t="s">
        <v>263</v>
      </c>
      <c r="W1408">
        <v>0</v>
      </c>
      <c r="X1408" t="s">
        <v>4193</v>
      </c>
      <c r="Z1408" t="s">
        <v>5397</v>
      </c>
      <c r="AC1408">
        <v>336</v>
      </c>
      <c r="AF1408">
        <v>4</v>
      </c>
      <c r="AG1408">
        <v>3</v>
      </c>
      <c r="AH1408">
        <v>1</v>
      </c>
      <c r="AI1408">
        <v>368.16</v>
      </c>
      <c r="AL1408" t="s">
        <v>6811</v>
      </c>
      <c r="AM1408">
        <v>94800</v>
      </c>
    </row>
    <row r="1409" spans="1:42">
      <c r="A1409" s="1">
        <f>HYPERLINK("https://lsnyc.legalserver.org/matter/dynamic-profile/view/1914797","19-1914797")</f>
        <v>0</v>
      </c>
      <c r="B1409" t="s">
        <v>67</v>
      </c>
      <c r="C1409" t="s">
        <v>267</v>
      </c>
      <c r="E1409" t="s">
        <v>1214</v>
      </c>
      <c r="F1409" t="s">
        <v>2097</v>
      </c>
      <c r="G1409" t="s">
        <v>2212</v>
      </c>
      <c r="H1409">
        <v>28</v>
      </c>
      <c r="I1409" t="s">
        <v>3490</v>
      </c>
      <c r="J1409">
        <v>11213</v>
      </c>
      <c r="K1409" t="s">
        <v>3522</v>
      </c>
      <c r="L1409" t="s">
        <v>3525</v>
      </c>
      <c r="M1409" t="s">
        <v>3847</v>
      </c>
      <c r="N1409" t="s">
        <v>4115</v>
      </c>
      <c r="O1409" t="s">
        <v>4134</v>
      </c>
      <c r="Q1409" t="s">
        <v>4147</v>
      </c>
      <c r="R1409" t="s">
        <v>3522</v>
      </c>
      <c r="T1409" t="s">
        <v>4156</v>
      </c>
      <c r="U1409" t="s">
        <v>4168</v>
      </c>
      <c r="V1409" t="s">
        <v>4178</v>
      </c>
      <c r="W1409">
        <v>1326</v>
      </c>
      <c r="X1409" t="s">
        <v>4193</v>
      </c>
      <c r="Y1409" t="s">
        <v>4206</v>
      </c>
      <c r="Z1409" t="s">
        <v>5398</v>
      </c>
      <c r="AA1409" t="s">
        <v>5646</v>
      </c>
      <c r="AB1409" t="s">
        <v>6698</v>
      </c>
      <c r="AC1409">
        <v>31</v>
      </c>
      <c r="AD1409" t="s">
        <v>6772</v>
      </c>
      <c r="AE1409" t="s">
        <v>3526</v>
      </c>
      <c r="AF1409">
        <v>2</v>
      </c>
      <c r="AG1409">
        <v>2</v>
      </c>
      <c r="AH1409">
        <v>0</v>
      </c>
      <c r="AI1409">
        <v>372.56</v>
      </c>
      <c r="AK1409" t="s">
        <v>6799</v>
      </c>
      <c r="AL1409" t="s">
        <v>6801</v>
      </c>
      <c r="AM1409">
        <v>63000</v>
      </c>
      <c r="AN1409" t="s">
        <v>6878</v>
      </c>
    </row>
    <row r="1410" spans="1:42">
      <c r="A1410" s="1">
        <f>HYPERLINK("https://lsnyc.legalserver.org/matter/dynamic-profile/view/1914600","19-1914600")</f>
        <v>0</v>
      </c>
      <c r="B1410" t="s">
        <v>54</v>
      </c>
      <c r="C1410" t="s">
        <v>269</v>
      </c>
      <c r="E1410" t="s">
        <v>1214</v>
      </c>
      <c r="F1410" t="s">
        <v>2097</v>
      </c>
      <c r="G1410" t="s">
        <v>2212</v>
      </c>
      <c r="H1410">
        <v>28</v>
      </c>
      <c r="I1410" t="s">
        <v>3490</v>
      </c>
      <c r="J1410">
        <v>11213</v>
      </c>
      <c r="K1410" t="s">
        <v>3522</v>
      </c>
      <c r="L1410" t="s">
        <v>3525</v>
      </c>
      <c r="M1410" t="s">
        <v>3570</v>
      </c>
      <c r="N1410" t="s">
        <v>4110</v>
      </c>
      <c r="O1410" t="s">
        <v>4137</v>
      </c>
      <c r="Q1410" t="s">
        <v>4147</v>
      </c>
      <c r="R1410" t="s">
        <v>3522</v>
      </c>
      <c r="T1410" t="s">
        <v>4156</v>
      </c>
      <c r="U1410" t="s">
        <v>4168</v>
      </c>
      <c r="V1410" t="s">
        <v>273</v>
      </c>
      <c r="W1410">
        <v>1326</v>
      </c>
      <c r="X1410" t="s">
        <v>4193</v>
      </c>
      <c r="Y1410" t="s">
        <v>4206</v>
      </c>
      <c r="Z1410" t="s">
        <v>5398</v>
      </c>
      <c r="AA1410" t="s">
        <v>5646</v>
      </c>
      <c r="AB1410" t="s">
        <v>6698</v>
      </c>
      <c r="AC1410">
        <v>31</v>
      </c>
      <c r="AD1410" t="s">
        <v>6772</v>
      </c>
      <c r="AE1410" t="s">
        <v>3526</v>
      </c>
      <c r="AF1410">
        <v>2</v>
      </c>
      <c r="AG1410">
        <v>2</v>
      </c>
      <c r="AH1410">
        <v>0</v>
      </c>
      <c r="AI1410">
        <v>372.56</v>
      </c>
      <c r="AL1410" t="s">
        <v>6801</v>
      </c>
      <c r="AM1410">
        <v>63000</v>
      </c>
      <c r="AN1410" t="s">
        <v>6899</v>
      </c>
    </row>
    <row r="1411" spans="1:42">
      <c r="A1411" s="1">
        <f>HYPERLINK("https://lsnyc.legalserver.org/matter/dynamic-profile/view/1914614","19-1914614")</f>
        <v>0</v>
      </c>
      <c r="B1411" t="s">
        <v>54</v>
      </c>
      <c r="C1411" t="s">
        <v>269</v>
      </c>
      <c r="E1411" t="s">
        <v>1214</v>
      </c>
      <c r="F1411" t="s">
        <v>2097</v>
      </c>
      <c r="G1411" t="s">
        <v>2212</v>
      </c>
      <c r="H1411">
        <v>28</v>
      </c>
      <c r="I1411" t="s">
        <v>3490</v>
      </c>
      <c r="J1411">
        <v>11213</v>
      </c>
      <c r="K1411" t="s">
        <v>3522</v>
      </c>
      <c r="L1411" t="s">
        <v>3525</v>
      </c>
      <c r="M1411" t="s">
        <v>3847</v>
      </c>
      <c r="N1411" t="s">
        <v>4110</v>
      </c>
      <c r="O1411" t="s">
        <v>4137</v>
      </c>
      <c r="Q1411" t="s">
        <v>4147</v>
      </c>
      <c r="R1411" t="s">
        <v>3522</v>
      </c>
      <c r="T1411" t="s">
        <v>4156</v>
      </c>
      <c r="U1411" t="s">
        <v>4168</v>
      </c>
      <c r="V1411" t="s">
        <v>265</v>
      </c>
      <c r="W1411">
        <v>1326</v>
      </c>
      <c r="X1411" t="s">
        <v>4193</v>
      </c>
      <c r="Y1411" t="s">
        <v>4206</v>
      </c>
      <c r="Z1411" t="s">
        <v>5398</v>
      </c>
      <c r="AA1411" t="s">
        <v>5646</v>
      </c>
      <c r="AB1411" t="s">
        <v>6698</v>
      </c>
      <c r="AC1411">
        <v>31</v>
      </c>
      <c r="AD1411" t="s">
        <v>6772</v>
      </c>
      <c r="AE1411" t="s">
        <v>3526</v>
      </c>
      <c r="AF1411">
        <v>2</v>
      </c>
      <c r="AG1411">
        <v>2</v>
      </c>
      <c r="AH1411">
        <v>0</v>
      </c>
      <c r="AI1411">
        <v>372.56</v>
      </c>
      <c r="AK1411" t="s">
        <v>6799</v>
      </c>
      <c r="AL1411" t="s">
        <v>6801</v>
      </c>
      <c r="AM1411">
        <v>63000</v>
      </c>
      <c r="AN1411" t="s">
        <v>6899</v>
      </c>
    </row>
    <row r="1412" spans="1:42">
      <c r="A1412" s="1">
        <f>HYPERLINK("https://lsnyc.legalserver.org/matter/dynamic-profile/view/1912622","19-1912622")</f>
        <v>0</v>
      </c>
      <c r="B1412" t="s">
        <v>157</v>
      </c>
      <c r="C1412" t="s">
        <v>194</v>
      </c>
      <c r="D1412" t="s">
        <v>192</v>
      </c>
      <c r="E1412" t="s">
        <v>423</v>
      </c>
      <c r="F1412" t="s">
        <v>1802</v>
      </c>
      <c r="G1412" t="s">
        <v>3082</v>
      </c>
      <c r="I1412" t="s">
        <v>3493</v>
      </c>
      <c r="J1412">
        <v>10452</v>
      </c>
      <c r="K1412" t="s">
        <v>3522</v>
      </c>
      <c r="L1412" t="s">
        <v>3525</v>
      </c>
      <c r="M1412" t="s">
        <v>3562</v>
      </c>
      <c r="N1412" t="s">
        <v>3554</v>
      </c>
      <c r="O1412" t="s">
        <v>4132</v>
      </c>
      <c r="P1412" t="s">
        <v>4139</v>
      </c>
      <c r="Q1412" t="s">
        <v>4147</v>
      </c>
      <c r="R1412" t="s">
        <v>3523</v>
      </c>
      <c r="T1412" t="s">
        <v>4156</v>
      </c>
      <c r="V1412" t="s">
        <v>314</v>
      </c>
      <c r="W1412">
        <v>1550</v>
      </c>
      <c r="X1412" t="s">
        <v>4194</v>
      </c>
      <c r="Y1412" t="s">
        <v>4206</v>
      </c>
      <c r="Z1412" t="s">
        <v>5375</v>
      </c>
      <c r="AB1412" t="s">
        <v>6679</v>
      </c>
      <c r="AC1412">
        <v>45</v>
      </c>
      <c r="AD1412" t="s">
        <v>6782</v>
      </c>
      <c r="AE1412" t="s">
        <v>3526</v>
      </c>
      <c r="AF1412">
        <v>2</v>
      </c>
      <c r="AG1412">
        <v>1</v>
      </c>
      <c r="AH1412">
        <v>0</v>
      </c>
      <c r="AI1412">
        <v>374.7</v>
      </c>
      <c r="AL1412" t="s">
        <v>6801</v>
      </c>
      <c r="AM1412">
        <v>46800</v>
      </c>
    </row>
    <row r="1413" spans="1:42">
      <c r="A1413" s="1">
        <f>HYPERLINK("https://lsnyc.legalserver.org/matter/dynamic-profile/view/1903176","19-1903176")</f>
        <v>0</v>
      </c>
      <c r="B1413" t="s">
        <v>60</v>
      </c>
      <c r="C1413" t="s">
        <v>356</v>
      </c>
      <c r="E1413" t="s">
        <v>423</v>
      </c>
      <c r="F1413" t="s">
        <v>1281</v>
      </c>
      <c r="G1413" t="s">
        <v>3094</v>
      </c>
      <c r="H1413" t="s">
        <v>3170</v>
      </c>
      <c r="I1413" t="s">
        <v>3490</v>
      </c>
      <c r="J1413">
        <v>11233</v>
      </c>
      <c r="K1413" t="s">
        <v>3522</v>
      </c>
      <c r="L1413" t="s">
        <v>3525</v>
      </c>
      <c r="M1413" t="s">
        <v>4095</v>
      </c>
      <c r="N1413" t="s">
        <v>4109</v>
      </c>
      <c r="O1413" t="s">
        <v>4134</v>
      </c>
      <c r="Q1413" t="s">
        <v>4147</v>
      </c>
      <c r="R1413" t="s">
        <v>3523</v>
      </c>
      <c r="T1413" t="s">
        <v>4156</v>
      </c>
      <c r="U1413" t="s">
        <v>4168</v>
      </c>
      <c r="V1413" t="s">
        <v>293</v>
      </c>
      <c r="W1413">
        <v>1300</v>
      </c>
      <c r="X1413" t="s">
        <v>4193</v>
      </c>
      <c r="Y1413" t="s">
        <v>4212</v>
      </c>
      <c r="Z1413" t="s">
        <v>5399</v>
      </c>
      <c r="AA1413" t="s">
        <v>3526</v>
      </c>
      <c r="AB1413" t="s">
        <v>6699</v>
      </c>
      <c r="AC1413">
        <v>6</v>
      </c>
      <c r="AD1413" t="s">
        <v>6772</v>
      </c>
      <c r="AE1413" t="s">
        <v>3526</v>
      </c>
      <c r="AF1413">
        <v>10</v>
      </c>
      <c r="AG1413">
        <v>1</v>
      </c>
      <c r="AH1413">
        <v>0</v>
      </c>
      <c r="AI1413">
        <v>376.3</v>
      </c>
      <c r="AJ1413" t="s">
        <v>234</v>
      </c>
      <c r="AK1413" t="s">
        <v>6799</v>
      </c>
      <c r="AL1413" t="s">
        <v>6801</v>
      </c>
      <c r="AM1413">
        <v>47000</v>
      </c>
    </row>
    <row r="1414" spans="1:42">
      <c r="A1414" s="1">
        <f>HYPERLINK("https://lsnyc.legalserver.org/matter/dynamic-profile/view/1905687","19-1905687")</f>
        <v>0</v>
      </c>
      <c r="B1414" t="s">
        <v>52</v>
      </c>
      <c r="C1414" t="s">
        <v>206</v>
      </c>
      <c r="E1414" t="s">
        <v>414</v>
      </c>
      <c r="F1414" t="s">
        <v>2098</v>
      </c>
      <c r="G1414" t="s">
        <v>2410</v>
      </c>
      <c r="H1414" t="s">
        <v>3155</v>
      </c>
      <c r="I1414" t="s">
        <v>3490</v>
      </c>
      <c r="J1414">
        <v>11226</v>
      </c>
      <c r="K1414" t="s">
        <v>3522</v>
      </c>
      <c r="N1414" t="s">
        <v>4110</v>
      </c>
      <c r="O1414" t="s">
        <v>4137</v>
      </c>
      <c r="Q1414" t="s">
        <v>4147</v>
      </c>
      <c r="R1414" t="s">
        <v>3522</v>
      </c>
      <c r="T1414" t="s">
        <v>4156</v>
      </c>
      <c r="V1414" t="s">
        <v>206</v>
      </c>
      <c r="W1414">
        <v>0</v>
      </c>
      <c r="X1414" t="s">
        <v>4193</v>
      </c>
      <c r="Z1414" t="s">
        <v>5400</v>
      </c>
      <c r="AC1414">
        <v>36</v>
      </c>
      <c r="AD1414" t="s">
        <v>6772</v>
      </c>
      <c r="AF1414">
        <v>0</v>
      </c>
      <c r="AG1414">
        <v>3</v>
      </c>
      <c r="AH1414">
        <v>1</v>
      </c>
      <c r="AI1414">
        <v>388.35</v>
      </c>
      <c r="AL1414" t="s">
        <v>6801</v>
      </c>
      <c r="AM1414">
        <v>100000</v>
      </c>
    </row>
    <row r="1415" spans="1:42">
      <c r="A1415" s="1">
        <f>HYPERLINK("https://lsnyc.legalserver.org/matter/dynamic-profile/view/1904020","19-1904020")</f>
        <v>0</v>
      </c>
      <c r="B1415" t="s">
        <v>167</v>
      </c>
      <c r="C1415" t="s">
        <v>274</v>
      </c>
      <c r="D1415" t="s">
        <v>217</v>
      </c>
      <c r="E1415" t="s">
        <v>1215</v>
      </c>
      <c r="F1415" t="s">
        <v>2099</v>
      </c>
      <c r="G1415" t="s">
        <v>3095</v>
      </c>
      <c r="H1415" t="s">
        <v>3156</v>
      </c>
      <c r="I1415" t="s">
        <v>3490</v>
      </c>
      <c r="J1415">
        <v>11238</v>
      </c>
      <c r="K1415" t="s">
        <v>3522</v>
      </c>
      <c r="L1415" t="s">
        <v>3525</v>
      </c>
      <c r="N1415" t="s">
        <v>4119</v>
      </c>
      <c r="O1415" t="s">
        <v>4132</v>
      </c>
      <c r="P1415" t="s">
        <v>4139</v>
      </c>
      <c r="Q1415" t="s">
        <v>4147</v>
      </c>
      <c r="R1415" t="s">
        <v>3523</v>
      </c>
      <c r="T1415" t="s">
        <v>4166</v>
      </c>
      <c r="V1415" t="s">
        <v>217</v>
      </c>
      <c r="W1415">
        <v>0</v>
      </c>
      <c r="X1415" t="s">
        <v>4193</v>
      </c>
      <c r="Z1415" t="s">
        <v>5401</v>
      </c>
      <c r="AC1415">
        <v>8</v>
      </c>
      <c r="AF1415">
        <v>0</v>
      </c>
      <c r="AG1415">
        <v>1</v>
      </c>
      <c r="AH1415">
        <v>0</v>
      </c>
      <c r="AI1415">
        <v>392.31</v>
      </c>
      <c r="AL1415" t="s">
        <v>6801</v>
      </c>
      <c r="AM1415">
        <v>49000</v>
      </c>
    </row>
    <row r="1416" spans="1:42">
      <c r="A1416" s="1">
        <f>HYPERLINK("https://lsnyc.legalserver.org/matter/dynamic-profile/view/1915425","19-1915425")</f>
        <v>0</v>
      </c>
      <c r="B1416" t="s">
        <v>65</v>
      </c>
      <c r="C1416" t="s">
        <v>258</v>
      </c>
      <c r="E1416" t="s">
        <v>1216</v>
      </c>
      <c r="F1416" t="s">
        <v>2100</v>
      </c>
      <c r="G1416" t="s">
        <v>2292</v>
      </c>
      <c r="H1416" t="s">
        <v>3466</v>
      </c>
      <c r="I1416" t="s">
        <v>3490</v>
      </c>
      <c r="J1416">
        <v>11226</v>
      </c>
      <c r="K1416" t="s">
        <v>3522</v>
      </c>
      <c r="N1416" t="s">
        <v>4112</v>
      </c>
      <c r="O1416" t="s">
        <v>4133</v>
      </c>
      <c r="Q1416" t="s">
        <v>4147</v>
      </c>
      <c r="T1416" t="s">
        <v>4156</v>
      </c>
      <c r="V1416" t="s">
        <v>219</v>
      </c>
      <c r="W1416">
        <v>1119.66</v>
      </c>
      <c r="X1416" t="s">
        <v>4193</v>
      </c>
      <c r="Y1416" t="s">
        <v>4202</v>
      </c>
      <c r="Z1416" t="s">
        <v>5402</v>
      </c>
      <c r="AC1416">
        <v>6</v>
      </c>
      <c r="AD1416" t="s">
        <v>6772</v>
      </c>
      <c r="AF1416">
        <v>8</v>
      </c>
      <c r="AG1416">
        <v>1</v>
      </c>
      <c r="AH1416">
        <v>0</v>
      </c>
      <c r="AI1416">
        <v>392.31</v>
      </c>
      <c r="AL1416" t="s">
        <v>6801</v>
      </c>
      <c r="AM1416">
        <v>49000</v>
      </c>
    </row>
    <row r="1417" spans="1:42">
      <c r="A1417" s="1">
        <f>HYPERLINK("https://lsnyc.legalserver.org/matter/dynamic-profile/view/1904682","19-1904682")</f>
        <v>0</v>
      </c>
      <c r="B1417" t="s">
        <v>154</v>
      </c>
      <c r="C1417" t="s">
        <v>246</v>
      </c>
      <c r="D1417" t="s">
        <v>225</v>
      </c>
      <c r="E1417" t="s">
        <v>1217</v>
      </c>
      <c r="F1417" t="s">
        <v>1899</v>
      </c>
      <c r="G1417" t="s">
        <v>3096</v>
      </c>
      <c r="H1417" t="s">
        <v>3467</v>
      </c>
      <c r="I1417" t="s">
        <v>3495</v>
      </c>
      <c r="J1417">
        <v>10035</v>
      </c>
      <c r="K1417" t="s">
        <v>3522</v>
      </c>
      <c r="L1417" t="s">
        <v>3525</v>
      </c>
      <c r="N1417" t="s">
        <v>3554</v>
      </c>
      <c r="O1417" t="s">
        <v>4132</v>
      </c>
      <c r="P1417" t="s">
        <v>4139</v>
      </c>
      <c r="Q1417" t="s">
        <v>4147</v>
      </c>
      <c r="R1417" t="s">
        <v>3523</v>
      </c>
      <c r="T1417" t="s">
        <v>4156</v>
      </c>
      <c r="U1417" t="s">
        <v>4168</v>
      </c>
      <c r="V1417" t="s">
        <v>246</v>
      </c>
      <c r="W1417">
        <v>215</v>
      </c>
      <c r="X1417" t="s">
        <v>4196</v>
      </c>
      <c r="Y1417" t="s">
        <v>4206</v>
      </c>
      <c r="Z1417" t="s">
        <v>5403</v>
      </c>
      <c r="AB1417" t="s">
        <v>6700</v>
      </c>
      <c r="AC1417">
        <v>100</v>
      </c>
      <c r="AD1417" t="s">
        <v>6772</v>
      </c>
      <c r="AE1417" t="s">
        <v>3526</v>
      </c>
      <c r="AF1417">
        <v>6</v>
      </c>
      <c r="AG1417">
        <v>1</v>
      </c>
      <c r="AH1417">
        <v>0</v>
      </c>
      <c r="AI1417">
        <v>392.31</v>
      </c>
      <c r="AL1417" t="s">
        <v>6801</v>
      </c>
      <c r="AM1417">
        <v>49000</v>
      </c>
    </row>
    <row r="1418" spans="1:42">
      <c r="A1418" s="1">
        <f>HYPERLINK("https://lsnyc.legalserver.org/matter/dynamic-profile/view/1906210","19-1906210")</f>
        <v>0</v>
      </c>
      <c r="B1418" t="s">
        <v>108</v>
      </c>
      <c r="C1418" t="s">
        <v>188</v>
      </c>
      <c r="E1418" t="s">
        <v>409</v>
      </c>
      <c r="F1418" t="s">
        <v>2101</v>
      </c>
      <c r="G1418" t="s">
        <v>3097</v>
      </c>
      <c r="H1418" t="s">
        <v>3468</v>
      </c>
      <c r="I1418" t="s">
        <v>3488</v>
      </c>
      <c r="J1418">
        <v>11354</v>
      </c>
      <c r="K1418" t="s">
        <v>3522</v>
      </c>
      <c r="L1418" t="s">
        <v>3525</v>
      </c>
      <c r="M1418" t="s">
        <v>4096</v>
      </c>
      <c r="N1418" t="s">
        <v>4110</v>
      </c>
      <c r="O1418" t="s">
        <v>4137</v>
      </c>
      <c r="Q1418" t="s">
        <v>4147</v>
      </c>
      <c r="R1418" t="s">
        <v>3522</v>
      </c>
      <c r="T1418" t="s">
        <v>4156</v>
      </c>
      <c r="U1418" t="s">
        <v>4168</v>
      </c>
      <c r="V1418" t="s">
        <v>188</v>
      </c>
      <c r="W1418">
        <v>1808</v>
      </c>
      <c r="X1418" t="s">
        <v>4192</v>
      </c>
      <c r="Y1418" t="s">
        <v>4208</v>
      </c>
      <c r="Z1418" t="s">
        <v>5404</v>
      </c>
      <c r="AB1418" t="s">
        <v>6701</v>
      </c>
      <c r="AC1418">
        <v>91</v>
      </c>
      <c r="AD1418" t="s">
        <v>6772</v>
      </c>
      <c r="AE1418" t="s">
        <v>3526</v>
      </c>
      <c r="AF1418">
        <v>5</v>
      </c>
      <c r="AG1418">
        <v>1</v>
      </c>
      <c r="AH1418">
        <v>1</v>
      </c>
      <c r="AI1418">
        <v>392.67</v>
      </c>
      <c r="AJ1418" t="s">
        <v>269</v>
      </c>
      <c r="AK1418" t="s">
        <v>6799</v>
      </c>
      <c r="AL1418" t="s">
        <v>6801</v>
      </c>
      <c r="AM1418">
        <v>66400</v>
      </c>
      <c r="AP1418" t="s">
        <v>4200</v>
      </c>
    </row>
    <row r="1419" spans="1:42">
      <c r="A1419" s="1">
        <f>HYPERLINK("https://lsnyc.legalserver.org/matter/dynamic-profile/view/1905733","19-1905733")</f>
        <v>0</v>
      </c>
      <c r="B1419" t="s">
        <v>97</v>
      </c>
      <c r="C1419" t="s">
        <v>206</v>
      </c>
      <c r="E1419" t="s">
        <v>1218</v>
      </c>
      <c r="F1419" t="s">
        <v>2102</v>
      </c>
      <c r="G1419" t="s">
        <v>2527</v>
      </c>
      <c r="H1419" t="s">
        <v>3158</v>
      </c>
      <c r="I1419" t="s">
        <v>3490</v>
      </c>
      <c r="J1419">
        <v>11221</v>
      </c>
      <c r="K1419" t="s">
        <v>3522</v>
      </c>
      <c r="L1419" t="s">
        <v>3525</v>
      </c>
      <c r="M1419" t="s">
        <v>3554</v>
      </c>
      <c r="N1419" t="s">
        <v>3554</v>
      </c>
      <c r="O1419" t="s">
        <v>4135</v>
      </c>
      <c r="Q1419" t="s">
        <v>4147</v>
      </c>
      <c r="R1419" t="s">
        <v>3522</v>
      </c>
      <c r="T1419" t="s">
        <v>4156</v>
      </c>
      <c r="U1419" t="s">
        <v>4168</v>
      </c>
      <c r="V1419" t="s">
        <v>237</v>
      </c>
      <c r="W1419">
        <v>632.48</v>
      </c>
      <c r="X1419" t="s">
        <v>4193</v>
      </c>
      <c r="Y1419" t="s">
        <v>4206</v>
      </c>
      <c r="Z1419" t="s">
        <v>5405</v>
      </c>
      <c r="AA1419" t="s">
        <v>3526</v>
      </c>
      <c r="AB1419" t="s">
        <v>6702</v>
      </c>
      <c r="AC1419">
        <v>12</v>
      </c>
      <c r="AD1419" t="s">
        <v>6772</v>
      </c>
      <c r="AE1419" t="s">
        <v>3526</v>
      </c>
      <c r="AF1419">
        <v>18</v>
      </c>
      <c r="AG1419">
        <v>3</v>
      </c>
      <c r="AH1419">
        <v>0</v>
      </c>
      <c r="AI1419">
        <v>398.5</v>
      </c>
      <c r="AL1419" t="s">
        <v>6801</v>
      </c>
      <c r="AM1419">
        <v>85000</v>
      </c>
      <c r="AN1419" t="s">
        <v>6900</v>
      </c>
    </row>
    <row r="1420" spans="1:42">
      <c r="A1420" s="1">
        <f>HYPERLINK("https://lsnyc.legalserver.org/matter/dynamic-profile/view/1912422","19-1912422")</f>
        <v>0</v>
      </c>
      <c r="B1420" t="s">
        <v>45</v>
      </c>
      <c r="C1420" t="s">
        <v>295</v>
      </c>
      <c r="E1420" t="s">
        <v>1219</v>
      </c>
      <c r="F1420" t="s">
        <v>1266</v>
      </c>
      <c r="G1420" t="s">
        <v>2165</v>
      </c>
      <c r="H1420" t="s">
        <v>3211</v>
      </c>
      <c r="I1420" t="s">
        <v>3479</v>
      </c>
      <c r="J1420">
        <v>11691</v>
      </c>
      <c r="K1420" t="s">
        <v>3522</v>
      </c>
      <c r="L1420" t="s">
        <v>3525</v>
      </c>
      <c r="M1420" t="s">
        <v>3679</v>
      </c>
      <c r="N1420" t="s">
        <v>4108</v>
      </c>
      <c r="O1420" t="s">
        <v>4134</v>
      </c>
      <c r="Q1420" t="s">
        <v>4147</v>
      </c>
      <c r="R1420" t="s">
        <v>3523</v>
      </c>
      <c r="T1420" t="s">
        <v>4156</v>
      </c>
      <c r="U1420" t="s">
        <v>4168</v>
      </c>
      <c r="V1420" t="s">
        <v>295</v>
      </c>
      <c r="W1420">
        <v>637</v>
      </c>
      <c r="X1420" t="s">
        <v>4192</v>
      </c>
      <c r="Y1420" t="s">
        <v>4198</v>
      </c>
      <c r="Z1420" t="s">
        <v>5406</v>
      </c>
      <c r="AB1420" t="s">
        <v>6703</v>
      </c>
      <c r="AC1420">
        <v>43</v>
      </c>
      <c r="AD1420" t="s">
        <v>6772</v>
      </c>
      <c r="AE1420" t="s">
        <v>3526</v>
      </c>
      <c r="AF1420">
        <v>28</v>
      </c>
      <c r="AG1420">
        <v>1</v>
      </c>
      <c r="AH1420">
        <v>0</v>
      </c>
      <c r="AI1420">
        <v>400.32</v>
      </c>
      <c r="AL1420" t="s">
        <v>6801</v>
      </c>
      <c r="AM1420">
        <v>50000</v>
      </c>
      <c r="AP1420" t="s">
        <v>4200</v>
      </c>
    </row>
    <row r="1421" spans="1:42">
      <c r="A1421" s="1">
        <f>HYPERLINK("https://lsnyc.legalserver.org/matter/dynamic-profile/view/1912412","19-1912412")</f>
        <v>0</v>
      </c>
      <c r="B1421" t="s">
        <v>45</v>
      </c>
      <c r="C1421" t="s">
        <v>295</v>
      </c>
      <c r="E1421" t="s">
        <v>1219</v>
      </c>
      <c r="F1421" t="s">
        <v>1266</v>
      </c>
      <c r="G1421" t="s">
        <v>2165</v>
      </c>
      <c r="H1421" t="s">
        <v>3211</v>
      </c>
      <c r="I1421" t="s">
        <v>3479</v>
      </c>
      <c r="J1421">
        <v>11691</v>
      </c>
      <c r="K1421" t="s">
        <v>3522</v>
      </c>
      <c r="L1421" t="s">
        <v>3525</v>
      </c>
      <c r="N1421" t="s">
        <v>4109</v>
      </c>
      <c r="O1421" t="s">
        <v>4133</v>
      </c>
      <c r="Q1421" t="s">
        <v>4147</v>
      </c>
      <c r="R1421" t="s">
        <v>3522</v>
      </c>
      <c r="T1421" t="s">
        <v>4156</v>
      </c>
      <c r="V1421" t="s">
        <v>295</v>
      </c>
      <c r="W1421">
        <v>637</v>
      </c>
      <c r="X1421" t="s">
        <v>4192</v>
      </c>
      <c r="Y1421" t="s">
        <v>4198</v>
      </c>
      <c r="Z1421" t="s">
        <v>5406</v>
      </c>
      <c r="AB1421" t="s">
        <v>6703</v>
      </c>
      <c r="AC1421">
        <v>43</v>
      </c>
      <c r="AD1421" t="s">
        <v>6772</v>
      </c>
      <c r="AE1421" t="s">
        <v>3526</v>
      </c>
      <c r="AF1421">
        <v>28</v>
      </c>
      <c r="AG1421">
        <v>1</v>
      </c>
      <c r="AH1421">
        <v>0</v>
      </c>
      <c r="AI1421">
        <v>400.32</v>
      </c>
      <c r="AL1421" t="s">
        <v>6801</v>
      </c>
      <c r="AM1421">
        <v>50000</v>
      </c>
    </row>
    <row r="1422" spans="1:42">
      <c r="A1422" s="1">
        <f>HYPERLINK("https://lsnyc.legalserver.org/matter/dynamic-profile/view/1915229","19-1915229")</f>
        <v>0</v>
      </c>
      <c r="B1422" t="s">
        <v>45</v>
      </c>
      <c r="C1422" t="s">
        <v>204</v>
      </c>
      <c r="E1422" t="s">
        <v>1219</v>
      </c>
      <c r="F1422" t="s">
        <v>1266</v>
      </c>
      <c r="G1422" t="s">
        <v>2165</v>
      </c>
      <c r="H1422" t="s">
        <v>3211</v>
      </c>
      <c r="I1422" t="s">
        <v>3479</v>
      </c>
      <c r="J1422">
        <v>11691</v>
      </c>
      <c r="K1422" t="s">
        <v>3522</v>
      </c>
      <c r="L1422" t="s">
        <v>3525</v>
      </c>
      <c r="N1422" t="s">
        <v>4109</v>
      </c>
      <c r="O1422" t="s">
        <v>4134</v>
      </c>
      <c r="Q1422" t="s">
        <v>4147</v>
      </c>
      <c r="R1422" t="s">
        <v>3523</v>
      </c>
      <c r="T1422" t="s">
        <v>4156</v>
      </c>
      <c r="V1422" t="s">
        <v>204</v>
      </c>
      <c r="W1422">
        <v>637</v>
      </c>
      <c r="X1422" t="s">
        <v>4192</v>
      </c>
      <c r="Y1422" t="s">
        <v>4198</v>
      </c>
      <c r="Z1422" t="s">
        <v>5406</v>
      </c>
      <c r="AB1422" t="s">
        <v>6704</v>
      </c>
      <c r="AC1422">
        <v>43</v>
      </c>
      <c r="AD1422" t="s">
        <v>6772</v>
      </c>
      <c r="AE1422" t="s">
        <v>3526</v>
      </c>
      <c r="AF1422">
        <v>28</v>
      </c>
      <c r="AG1422">
        <v>1</v>
      </c>
      <c r="AH1422">
        <v>0</v>
      </c>
      <c r="AI1422">
        <v>400.32</v>
      </c>
      <c r="AL1422" t="s">
        <v>6801</v>
      </c>
      <c r="AM1422">
        <v>50000</v>
      </c>
    </row>
    <row r="1423" spans="1:42">
      <c r="A1423" s="1">
        <f>HYPERLINK("https://lsnyc.legalserver.org/matter/dynamic-profile/view/1907585","19-1907585")</f>
        <v>0</v>
      </c>
      <c r="B1423" t="s">
        <v>52</v>
      </c>
      <c r="C1423" t="s">
        <v>239</v>
      </c>
      <c r="E1423" t="s">
        <v>1220</v>
      </c>
      <c r="F1423" t="s">
        <v>2103</v>
      </c>
      <c r="G1423" t="s">
        <v>2203</v>
      </c>
      <c r="H1423" t="s">
        <v>3141</v>
      </c>
      <c r="I1423" t="s">
        <v>3490</v>
      </c>
      <c r="J1423">
        <v>11226</v>
      </c>
      <c r="K1423" t="s">
        <v>3522</v>
      </c>
      <c r="L1423" t="s">
        <v>3525</v>
      </c>
      <c r="N1423" t="s">
        <v>4108</v>
      </c>
      <c r="O1423" t="s">
        <v>4134</v>
      </c>
      <c r="Q1423" t="s">
        <v>4147</v>
      </c>
      <c r="R1423" t="s">
        <v>3522</v>
      </c>
      <c r="T1423" t="s">
        <v>4156</v>
      </c>
      <c r="V1423" t="s">
        <v>239</v>
      </c>
      <c r="W1423">
        <v>786.46</v>
      </c>
      <c r="X1423" t="s">
        <v>4193</v>
      </c>
      <c r="Z1423" t="s">
        <v>5407</v>
      </c>
      <c r="AB1423" t="s">
        <v>6705</v>
      </c>
      <c r="AC1423">
        <v>16</v>
      </c>
      <c r="AD1423" t="s">
        <v>6772</v>
      </c>
      <c r="AF1423">
        <v>19</v>
      </c>
      <c r="AG1423">
        <v>1</v>
      </c>
      <c r="AH1423">
        <v>0</v>
      </c>
      <c r="AI1423">
        <v>400.32</v>
      </c>
      <c r="AL1423" t="s">
        <v>6801</v>
      </c>
      <c r="AM1423">
        <v>50000</v>
      </c>
    </row>
    <row r="1424" spans="1:42">
      <c r="A1424" s="1">
        <f>HYPERLINK("https://lsnyc.legalserver.org/matter/dynamic-profile/view/1911473","19-1911473")</f>
        <v>0</v>
      </c>
      <c r="B1424" t="s">
        <v>52</v>
      </c>
      <c r="C1424" t="s">
        <v>215</v>
      </c>
      <c r="E1424" t="s">
        <v>1220</v>
      </c>
      <c r="F1424" t="s">
        <v>2103</v>
      </c>
      <c r="G1424" t="s">
        <v>2203</v>
      </c>
      <c r="H1424" t="s">
        <v>3141</v>
      </c>
      <c r="I1424" t="s">
        <v>3490</v>
      </c>
      <c r="J1424">
        <v>11226</v>
      </c>
      <c r="K1424" t="s">
        <v>3522</v>
      </c>
      <c r="L1424" t="s">
        <v>3525</v>
      </c>
      <c r="O1424" t="s">
        <v>4134</v>
      </c>
      <c r="Q1424" t="s">
        <v>4147</v>
      </c>
      <c r="R1424" t="s">
        <v>3523</v>
      </c>
      <c r="T1424" t="s">
        <v>4156</v>
      </c>
      <c r="V1424" t="s">
        <v>313</v>
      </c>
      <c r="W1424">
        <v>786.46</v>
      </c>
      <c r="X1424" t="s">
        <v>4193</v>
      </c>
      <c r="Z1424" t="s">
        <v>5407</v>
      </c>
      <c r="AB1424" t="s">
        <v>6705</v>
      </c>
      <c r="AC1424">
        <v>16</v>
      </c>
      <c r="AD1424" t="s">
        <v>6772</v>
      </c>
      <c r="AF1424">
        <v>19</v>
      </c>
      <c r="AG1424">
        <v>1</v>
      </c>
      <c r="AH1424">
        <v>0</v>
      </c>
      <c r="AI1424">
        <v>400.32</v>
      </c>
      <c r="AL1424" t="s">
        <v>6801</v>
      </c>
      <c r="AM1424">
        <v>50000</v>
      </c>
    </row>
    <row r="1425" spans="1:42">
      <c r="A1425" s="1">
        <f>HYPERLINK("https://lsnyc.legalserver.org/matter/dynamic-profile/view/1908715","19-1908715")</f>
        <v>0</v>
      </c>
      <c r="B1425" t="s">
        <v>87</v>
      </c>
      <c r="C1425" t="s">
        <v>205</v>
      </c>
      <c r="D1425" t="s">
        <v>304</v>
      </c>
      <c r="E1425" t="s">
        <v>1221</v>
      </c>
      <c r="F1425" t="s">
        <v>2104</v>
      </c>
      <c r="G1425" t="s">
        <v>3098</v>
      </c>
      <c r="H1425">
        <v>33</v>
      </c>
      <c r="I1425" t="s">
        <v>3495</v>
      </c>
      <c r="J1425">
        <v>10040</v>
      </c>
      <c r="K1425" t="s">
        <v>3522</v>
      </c>
      <c r="L1425" t="s">
        <v>3525</v>
      </c>
      <c r="N1425" t="s">
        <v>3554</v>
      </c>
      <c r="O1425" t="s">
        <v>4132</v>
      </c>
      <c r="P1425" t="s">
        <v>4139</v>
      </c>
      <c r="Q1425" t="s">
        <v>4147</v>
      </c>
      <c r="R1425" t="s">
        <v>3523</v>
      </c>
      <c r="T1425" t="s">
        <v>4156</v>
      </c>
      <c r="V1425" t="s">
        <v>205</v>
      </c>
      <c r="W1425">
        <v>0</v>
      </c>
      <c r="X1425" t="s">
        <v>4196</v>
      </c>
      <c r="Y1425" t="s">
        <v>4205</v>
      </c>
      <c r="Z1425" t="s">
        <v>5408</v>
      </c>
      <c r="AB1425" t="s">
        <v>6706</v>
      </c>
      <c r="AC1425">
        <v>0</v>
      </c>
      <c r="AD1425" t="s">
        <v>6772</v>
      </c>
      <c r="AE1425" t="s">
        <v>3526</v>
      </c>
      <c r="AF1425">
        <v>23</v>
      </c>
      <c r="AG1425">
        <v>1</v>
      </c>
      <c r="AH1425">
        <v>0</v>
      </c>
      <c r="AI1425">
        <v>400.32</v>
      </c>
      <c r="AL1425" t="s">
        <v>6801</v>
      </c>
      <c r="AM1425">
        <v>50000</v>
      </c>
    </row>
    <row r="1426" spans="1:42">
      <c r="A1426" s="1">
        <f>HYPERLINK("https://lsnyc.legalserver.org/matter/dynamic-profile/view/1913352","19-1913352")</f>
        <v>0</v>
      </c>
      <c r="B1426" t="s">
        <v>172</v>
      </c>
      <c r="C1426" t="s">
        <v>192</v>
      </c>
      <c r="D1426" t="s">
        <v>243</v>
      </c>
      <c r="E1426" t="s">
        <v>1222</v>
      </c>
      <c r="F1426" t="s">
        <v>2105</v>
      </c>
      <c r="G1426" t="s">
        <v>3099</v>
      </c>
      <c r="H1426" t="s">
        <v>3467</v>
      </c>
      <c r="I1426" t="s">
        <v>3495</v>
      </c>
      <c r="J1426">
        <v>10035</v>
      </c>
      <c r="K1426" t="s">
        <v>3522</v>
      </c>
      <c r="L1426" t="s">
        <v>3525</v>
      </c>
      <c r="N1426" t="s">
        <v>4121</v>
      </c>
      <c r="O1426" t="s">
        <v>4133</v>
      </c>
      <c r="P1426" t="s">
        <v>4146</v>
      </c>
      <c r="Q1426" t="s">
        <v>4147</v>
      </c>
      <c r="R1426" t="s">
        <v>3523</v>
      </c>
      <c r="T1426" t="s">
        <v>4162</v>
      </c>
      <c r="U1426" t="s">
        <v>4168</v>
      </c>
      <c r="V1426" t="s">
        <v>359</v>
      </c>
      <c r="W1426">
        <v>1390</v>
      </c>
      <c r="X1426" t="s">
        <v>4196</v>
      </c>
      <c r="Z1426" t="s">
        <v>5409</v>
      </c>
      <c r="AB1426" t="s">
        <v>6707</v>
      </c>
      <c r="AC1426">
        <v>69</v>
      </c>
      <c r="AD1426" t="s">
        <v>6772</v>
      </c>
      <c r="AE1426" t="s">
        <v>3526</v>
      </c>
      <c r="AF1426">
        <v>19</v>
      </c>
      <c r="AG1426">
        <v>1</v>
      </c>
      <c r="AH1426">
        <v>0</v>
      </c>
      <c r="AI1426">
        <v>400.32</v>
      </c>
      <c r="AL1426" t="s">
        <v>6801</v>
      </c>
      <c r="AM1426">
        <v>50000</v>
      </c>
    </row>
    <row r="1427" spans="1:42">
      <c r="A1427" s="1">
        <f>HYPERLINK("https://lsnyc.legalserver.org/matter/dynamic-profile/view/1911389","19-1911389")</f>
        <v>0</v>
      </c>
      <c r="B1427" t="s">
        <v>87</v>
      </c>
      <c r="C1427" t="s">
        <v>313</v>
      </c>
      <c r="E1427" t="s">
        <v>1083</v>
      </c>
      <c r="F1427" t="s">
        <v>2106</v>
      </c>
      <c r="G1427" t="s">
        <v>2502</v>
      </c>
      <c r="H1427" t="s">
        <v>3252</v>
      </c>
      <c r="I1427" t="s">
        <v>3495</v>
      </c>
      <c r="J1427">
        <v>10040</v>
      </c>
      <c r="K1427" t="s">
        <v>3522</v>
      </c>
      <c r="L1427" t="s">
        <v>3525</v>
      </c>
      <c r="N1427" t="s">
        <v>4108</v>
      </c>
      <c r="O1427" t="s">
        <v>4134</v>
      </c>
      <c r="Q1427" t="s">
        <v>4147</v>
      </c>
      <c r="R1427" t="s">
        <v>3522</v>
      </c>
      <c r="T1427" t="s">
        <v>4156</v>
      </c>
      <c r="V1427" t="s">
        <v>313</v>
      </c>
      <c r="W1427">
        <v>1477.84</v>
      </c>
      <c r="X1427" t="s">
        <v>4196</v>
      </c>
      <c r="Y1427" t="s">
        <v>4205</v>
      </c>
      <c r="Z1427" t="s">
        <v>5410</v>
      </c>
      <c r="AC1427">
        <v>77</v>
      </c>
      <c r="AD1427" t="s">
        <v>6772</v>
      </c>
      <c r="AE1427" t="s">
        <v>3526</v>
      </c>
      <c r="AF1427">
        <v>4</v>
      </c>
      <c r="AG1427">
        <v>2</v>
      </c>
      <c r="AH1427">
        <v>0</v>
      </c>
      <c r="AI1427">
        <v>405.61</v>
      </c>
      <c r="AL1427" t="s">
        <v>6801</v>
      </c>
      <c r="AM1427">
        <v>68588</v>
      </c>
    </row>
    <row r="1428" spans="1:42">
      <c r="A1428" s="1">
        <f>HYPERLINK("https://lsnyc.legalserver.org/matter/dynamic-profile/view/1915297","19-1915297")</f>
        <v>0</v>
      </c>
      <c r="B1428" t="s">
        <v>65</v>
      </c>
      <c r="C1428" t="s">
        <v>260</v>
      </c>
      <c r="E1428" t="s">
        <v>662</v>
      </c>
      <c r="F1428" t="s">
        <v>2107</v>
      </c>
      <c r="G1428" t="s">
        <v>2292</v>
      </c>
      <c r="H1428" t="s">
        <v>3469</v>
      </c>
      <c r="I1428" t="s">
        <v>3490</v>
      </c>
      <c r="J1428">
        <v>11226</v>
      </c>
      <c r="K1428" t="s">
        <v>3522</v>
      </c>
      <c r="L1428" t="s">
        <v>3525</v>
      </c>
      <c r="N1428" t="s">
        <v>4112</v>
      </c>
      <c r="O1428" t="s">
        <v>4133</v>
      </c>
      <c r="Q1428" t="s">
        <v>4147</v>
      </c>
      <c r="R1428" t="s">
        <v>3522</v>
      </c>
      <c r="T1428" t="s">
        <v>4156</v>
      </c>
      <c r="V1428" t="s">
        <v>219</v>
      </c>
      <c r="W1428">
        <v>1250</v>
      </c>
      <c r="X1428" t="s">
        <v>4193</v>
      </c>
      <c r="Y1428" t="s">
        <v>4202</v>
      </c>
      <c r="Z1428" t="s">
        <v>5411</v>
      </c>
      <c r="AC1428">
        <v>6</v>
      </c>
      <c r="AD1428" t="s">
        <v>6772</v>
      </c>
      <c r="AF1428">
        <v>1</v>
      </c>
      <c r="AG1428">
        <v>1</v>
      </c>
      <c r="AH1428">
        <v>0</v>
      </c>
      <c r="AI1428">
        <v>408.33</v>
      </c>
      <c r="AL1428" t="s">
        <v>6801</v>
      </c>
      <c r="AM1428">
        <v>51000</v>
      </c>
    </row>
    <row r="1429" spans="1:42">
      <c r="A1429" s="1">
        <f>HYPERLINK("https://lsnyc.legalserver.org/matter/dynamic-profile/view/1908218","19-1908218")</f>
        <v>0</v>
      </c>
      <c r="B1429" t="s">
        <v>47</v>
      </c>
      <c r="C1429" t="s">
        <v>373</v>
      </c>
      <c r="E1429" t="s">
        <v>453</v>
      </c>
      <c r="F1429" t="s">
        <v>2108</v>
      </c>
      <c r="G1429" t="s">
        <v>2614</v>
      </c>
      <c r="H1429" t="s">
        <v>3272</v>
      </c>
      <c r="I1429" t="s">
        <v>3486</v>
      </c>
      <c r="J1429">
        <v>11377</v>
      </c>
      <c r="K1429" t="s">
        <v>3522</v>
      </c>
      <c r="L1429" t="s">
        <v>3525</v>
      </c>
      <c r="M1429" t="s">
        <v>3792</v>
      </c>
      <c r="N1429" t="s">
        <v>4110</v>
      </c>
      <c r="O1429" t="s">
        <v>4137</v>
      </c>
      <c r="Q1429" t="s">
        <v>4147</v>
      </c>
      <c r="R1429" t="s">
        <v>3522</v>
      </c>
      <c r="T1429" t="s">
        <v>4156</v>
      </c>
      <c r="U1429" t="s">
        <v>4168</v>
      </c>
      <c r="V1429" t="s">
        <v>373</v>
      </c>
      <c r="W1429">
        <v>1277.9</v>
      </c>
      <c r="X1429" t="s">
        <v>4192</v>
      </c>
      <c r="Y1429" t="s">
        <v>4206</v>
      </c>
      <c r="Z1429" t="s">
        <v>5412</v>
      </c>
      <c r="AB1429" t="s">
        <v>6708</v>
      </c>
      <c r="AC1429">
        <v>67</v>
      </c>
      <c r="AD1429" t="s">
        <v>6772</v>
      </c>
      <c r="AE1429" t="s">
        <v>3526</v>
      </c>
      <c r="AF1429">
        <v>0</v>
      </c>
      <c r="AG1429">
        <v>4</v>
      </c>
      <c r="AH1429">
        <v>0</v>
      </c>
      <c r="AI1429">
        <v>411.65</v>
      </c>
      <c r="AL1429" t="s">
        <v>6801</v>
      </c>
      <c r="AM1429">
        <v>106000</v>
      </c>
      <c r="AP1429" t="s">
        <v>4200</v>
      </c>
    </row>
    <row r="1430" spans="1:42">
      <c r="A1430" s="1">
        <f>HYPERLINK("https://lsnyc.legalserver.org/matter/dynamic-profile/view/1908223","19-1908223")</f>
        <v>0</v>
      </c>
      <c r="B1430" t="s">
        <v>47</v>
      </c>
      <c r="C1430" t="s">
        <v>373</v>
      </c>
      <c r="E1430" t="s">
        <v>453</v>
      </c>
      <c r="F1430" t="s">
        <v>2108</v>
      </c>
      <c r="G1430" t="s">
        <v>2614</v>
      </c>
      <c r="H1430" t="s">
        <v>3272</v>
      </c>
      <c r="I1430" t="s">
        <v>3486</v>
      </c>
      <c r="J1430">
        <v>11377</v>
      </c>
      <c r="K1430" t="s">
        <v>3522</v>
      </c>
      <c r="L1430" t="s">
        <v>3525</v>
      </c>
      <c r="M1430" t="s">
        <v>3793</v>
      </c>
      <c r="N1430" t="s">
        <v>4110</v>
      </c>
      <c r="O1430" t="s">
        <v>4137</v>
      </c>
      <c r="Q1430" t="s">
        <v>4147</v>
      </c>
      <c r="R1430" t="s">
        <v>3522</v>
      </c>
      <c r="T1430" t="s">
        <v>4156</v>
      </c>
      <c r="V1430" t="s">
        <v>4183</v>
      </c>
      <c r="W1430">
        <v>1277</v>
      </c>
      <c r="X1430" t="s">
        <v>4192</v>
      </c>
      <c r="Y1430" t="s">
        <v>4206</v>
      </c>
      <c r="Z1430" t="s">
        <v>5412</v>
      </c>
      <c r="AB1430" t="s">
        <v>6708</v>
      </c>
      <c r="AC1430">
        <v>67</v>
      </c>
      <c r="AD1430" t="s">
        <v>6772</v>
      </c>
      <c r="AE1430" t="s">
        <v>3526</v>
      </c>
      <c r="AF1430">
        <v>0</v>
      </c>
      <c r="AG1430">
        <v>4</v>
      </c>
      <c r="AH1430">
        <v>0</v>
      </c>
      <c r="AI1430">
        <v>411.65</v>
      </c>
      <c r="AL1430" t="s">
        <v>6801</v>
      </c>
      <c r="AM1430">
        <v>106000</v>
      </c>
    </row>
    <row r="1431" spans="1:42">
      <c r="A1431" s="1">
        <f>HYPERLINK("https://lsnyc.legalserver.org/matter/dynamic-profile/view/1906393","19-1906393")</f>
        <v>0</v>
      </c>
      <c r="B1431" t="s">
        <v>93</v>
      </c>
      <c r="C1431" t="s">
        <v>241</v>
      </c>
      <c r="E1431" t="s">
        <v>1223</v>
      </c>
      <c r="F1431" t="s">
        <v>2109</v>
      </c>
      <c r="G1431" t="s">
        <v>2849</v>
      </c>
      <c r="H1431">
        <v>36</v>
      </c>
      <c r="I1431" t="s">
        <v>3495</v>
      </c>
      <c r="J1431">
        <v>10032</v>
      </c>
      <c r="K1431" t="s">
        <v>3522</v>
      </c>
      <c r="L1431" t="s">
        <v>3525</v>
      </c>
      <c r="N1431" t="s">
        <v>4108</v>
      </c>
      <c r="O1431" t="s">
        <v>4133</v>
      </c>
      <c r="Q1431" t="s">
        <v>4147</v>
      </c>
      <c r="R1431" t="s">
        <v>3522</v>
      </c>
      <c r="T1431" t="s">
        <v>4156</v>
      </c>
      <c r="V1431" t="s">
        <v>241</v>
      </c>
      <c r="W1431">
        <v>0</v>
      </c>
      <c r="X1431" t="s">
        <v>4196</v>
      </c>
      <c r="Y1431" t="s">
        <v>4205</v>
      </c>
      <c r="Z1431" t="s">
        <v>5413</v>
      </c>
      <c r="AB1431" t="s">
        <v>6709</v>
      </c>
      <c r="AC1431">
        <v>46</v>
      </c>
      <c r="AD1431" t="s">
        <v>6772</v>
      </c>
      <c r="AE1431" t="s">
        <v>3526</v>
      </c>
      <c r="AF1431">
        <v>4</v>
      </c>
      <c r="AG1431">
        <v>1</v>
      </c>
      <c r="AH1431">
        <v>0</v>
      </c>
      <c r="AI1431">
        <v>412.33</v>
      </c>
      <c r="AL1431" t="s">
        <v>6801</v>
      </c>
      <c r="AM1431">
        <v>51500</v>
      </c>
    </row>
    <row r="1432" spans="1:42">
      <c r="A1432" s="1">
        <f>HYPERLINK("https://lsnyc.legalserver.org/matter/dynamic-profile/view/1913598","19-1913598")</f>
        <v>0</v>
      </c>
      <c r="B1432" t="s">
        <v>72</v>
      </c>
      <c r="C1432" t="s">
        <v>265</v>
      </c>
      <c r="E1432" t="s">
        <v>514</v>
      </c>
      <c r="F1432" t="s">
        <v>2110</v>
      </c>
      <c r="G1432" t="s">
        <v>2304</v>
      </c>
      <c r="H1432" t="s">
        <v>3335</v>
      </c>
      <c r="I1432" t="s">
        <v>3490</v>
      </c>
      <c r="J1432">
        <v>11238</v>
      </c>
      <c r="K1432" t="s">
        <v>3522</v>
      </c>
      <c r="L1432" t="s">
        <v>3525</v>
      </c>
      <c r="N1432" t="s">
        <v>4110</v>
      </c>
      <c r="O1432" t="s">
        <v>4137</v>
      </c>
      <c r="Q1432" t="s">
        <v>4147</v>
      </c>
      <c r="R1432" t="s">
        <v>3522</v>
      </c>
      <c r="T1432" t="s">
        <v>4156</v>
      </c>
      <c r="U1432" t="s">
        <v>4168</v>
      </c>
      <c r="V1432" t="s">
        <v>4178</v>
      </c>
      <c r="W1432">
        <v>1048.29</v>
      </c>
      <c r="X1432" t="s">
        <v>4193</v>
      </c>
      <c r="Y1432" t="s">
        <v>4200</v>
      </c>
      <c r="Z1432" t="s">
        <v>5414</v>
      </c>
      <c r="AA1432" t="s">
        <v>3526</v>
      </c>
      <c r="AB1432" t="s">
        <v>6710</v>
      </c>
      <c r="AC1432">
        <v>16</v>
      </c>
      <c r="AD1432" t="s">
        <v>6772</v>
      </c>
      <c r="AE1432" t="s">
        <v>3526</v>
      </c>
      <c r="AF1432">
        <v>0</v>
      </c>
      <c r="AG1432">
        <v>2</v>
      </c>
      <c r="AH1432">
        <v>0</v>
      </c>
      <c r="AI1432">
        <v>413.96</v>
      </c>
      <c r="AL1432" t="s">
        <v>6801</v>
      </c>
      <c r="AM1432">
        <v>70000</v>
      </c>
    </row>
    <row r="1433" spans="1:42">
      <c r="A1433" s="1">
        <f>HYPERLINK("https://lsnyc.legalserver.org/matter/dynamic-profile/view/1913595","19-1913595")</f>
        <v>0</v>
      </c>
      <c r="B1433" t="s">
        <v>72</v>
      </c>
      <c r="C1433" t="s">
        <v>265</v>
      </c>
      <c r="E1433" t="s">
        <v>514</v>
      </c>
      <c r="F1433" t="s">
        <v>2110</v>
      </c>
      <c r="G1433" t="s">
        <v>2304</v>
      </c>
      <c r="H1433" t="s">
        <v>3335</v>
      </c>
      <c r="I1433" t="s">
        <v>3490</v>
      </c>
      <c r="J1433">
        <v>11238</v>
      </c>
      <c r="K1433" t="s">
        <v>3522</v>
      </c>
      <c r="L1433" t="s">
        <v>3525</v>
      </c>
      <c r="M1433" t="s">
        <v>3554</v>
      </c>
      <c r="N1433" t="s">
        <v>4112</v>
      </c>
      <c r="O1433" t="s">
        <v>4135</v>
      </c>
      <c r="Q1433" t="s">
        <v>4147</v>
      </c>
      <c r="R1433" t="s">
        <v>3522</v>
      </c>
      <c r="T1433" t="s">
        <v>4156</v>
      </c>
      <c r="U1433" t="s">
        <v>4168</v>
      </c>
      <c r="V1433" t="s">
        <v>359</v>
      </c>
      <c r="W1433">
        <v>1048.29</v>
      </c>
      <c r="X1433" t="s">
        <v>4193</v>
      </c>
      <c r="Y1433" t="s">
        <v>4200</v>
      </c>
      <c r="Z1433" t="s">
        <v>5414</v>
      </c>
      <c r="AA1433" t="s">
        <v>3526</v>
      </c>
      <c r="AB1433" t="s">
        <v>6710</v>
      </c>
      <c r="AC1433">
        <v>16</v>
      </c>
      <c r="AD1433" t="s">
        <v>6772</v>
      </c>
      <c r="AE1433" t="s">
        <v>3526</v>
      </c>
      <c r="AF1433">
        <v>0</v>
      </c>
      <c r="AG1433">
        <v>2</v>
      </c>
      <c r="AH1433">
        <v>0</v>
      </c>
      <c r="AI1433">
        <v>413.96</v>
      </c>
      <c r="AL1433" t="s">
        <v>6801</v>
      </c>
      <c r="AM1433">
        <v>70000</v>
      </c>
      <c r="AN1433" t="s">
        <v>6867</v>
      </c>
    </row>
    <row r="1434" spans="1:42">
      <c r="A1434" s="1">
        <f>HYPERLINK("https://lsnyc.legalserver.org/matter/dynamic-profile/view/1911874","19-1911874")</f>
        <v>0</v>
      </c>
      <c r="B1434" t="s">
        <v>72</v>
      </c>
      <c r="C1434" t="s">
        <v>190</v>
      </c>
      <c r="E1434" t="s">
        <v>514</v>
      </c>
      <c r="F1434" t="s">
        <v>2110</v>
      </c>
      <c r="G1434" t="s">
        <v>2304</v>
      </c>
      <c r="H1434" t="s">
        <v>3335</v>
      </c>
      <c r="I1434" t="s">
        <v>3490</v>
      </c>
      <c r="J1434">
        <v>11238</v>
      </c>
      <c r="K1434" t="s">
        <v>3522</v>
      </c>
      <c r="L1434" t="s">
        <v>3525</v>
      </c>
      <c r="M1434" t="s">
        <v>4097</v>
      </c>
      <c r="N1434" t="s">
        <v>4109</v>
      </c>
      <c r="O1434" t="s">
        <v>4134</v>
      </c>
      <c r="Q1434" t="s">
        <v>4147</v>
      </c>
      <c r="R1434" t="s">
        <v>3523</v>
      </c>
      <c r="T1434" t="s">
        <v>4156</v>
      </c>
      <c r="U1434" t="s">
        <v>4168</v>
      </c>
      <c r="V1434" t="s">
        <v>194</v>
      </c>
      <c r="W1434">
        <v>1048.29</v>
      </c>
      <c r="X1434" t="s">
        <v>4193</v>
      </c>
      <c r="Z1434" t="s">
        <v>5414</v>
      </c>
      <c r="AA1434" t="s">
        <v>3526</v>
      </c>
      <c r="AB1434" t="s">
        <v>6710</v>
      </c>
      <c r="AC1434">
        <v>16</v>
      </c>
      <c r="AD1434" t="s">
        <v>6772</v>
      </c>
      <c r="AE1434" t="s">
        <v>3526</v>
      </c>
      <c r="AF1434">
        <v>0</v>
      </c>
      <c r="AG1434">
        <v>2</v>
      </c>
      <c r="AH1434">
        <v>0</v>
      </c>
      <c r="AI1434">
        <v>413.96</v>
      </c>
      <c r="AL1434" t="s">
        <v>6801</v>
      </c>
      <c r="AM1434">
        <v>70000</v>
      </c>
      <c r="AN1434" t="s">
        <v>6901</v>
      </c>
    </row>
    <row r="1435" spans="1:42">
      <c r="A1435" s="1">
        <f>HYPERLINK("https://lsnyc.legalserver.org/matter/dynamic-profile/view/1915022","19-1915022")</f>
        <v>0</v>
      </c>
      <c r="B1435" t="s">
        <v>94</v>
      </c>
      <c r="C1435" t="s">
        <v>219</v>
      </c>
      <c r="E1435" t="s">
        <v>1224</v>
      </c>
      <c r="F1435" t="s">
        <v>2111</v>
      </c>
      <c r="G1435" t="s">
        <v>2480</v>
      </c>
      <c r="H1435" t="s">
        <v>3461</v>
      </c>
      <c r="I1435" t="s">
        <v>3495</v>
      </c>
      <c r="J1435">
        <v>10035</v>
      </c>
      <c r="K1435" t="s">
        <v>3522</v>
      </c>
      <c r="L1435" t="s">
        <v>3525</v>
      </c>
      <c r="N1435" t="s">
        <v>4110</v>
      </c>
      <c r="O1435" t="s">
        <v>4134</v>
      </c>
      <c r="Q1435" t="s">
        <v>4147</v>
      </c>
      <c r="R1435" t="s">
        <v>3522</v>
      </c>
      <c r="T1435" t="s">
        <v>4156</v>
      </c>
      <c r="U1435" t="s">
        <v>4168</v>
      </c>
      <c r="V1435" t="s">
        <v>219</v>
      </c>
      <c r="W1435">
        <v>1230</v>
      </c>
      <c r="X1435" t="s">
        <v>4196</v>
      </c>
      <c r="Y1435" t="s">
        <v>4201</v>
      </c>
      <c r="Z1435" t="s">
        <v>5415</v>
      </c>
      <c r="AB1435" t="s">
        <v>6711</v>
      </c>
      <c r="AC1435">
        <v>60</v>
      </c>
      <c r="AD1435" t="s">
        <v>6780</v>
      </c>
      <c r="AE1435" t="s">
        <v>3526</v>
      </c>
      <c r="AF1435">
        <v>8</v>
      </c>
      <c r="AG1435">
        <v>2</v>
      </c>
      <c r="AH1435">
        <v>0</v>
      </c>
      <c r="AI1435">
        <v>413.96</v>
      </c>
      <c r="AL1435" t="s">
        <v>6801</v>
      </c>
      <c r="AM1435">
        <v>70000</v>
      </c>
    </row>
    <row r="1436" spans="1:42">
      <c r="A1436" s="1">
        <f>HYPERLINK("https://lsnyc.legalserver.org/matter/dynamic-profile/view/1914758","19-1914758")</f>
        <v>0</v>
      </c>
      <c r="B1436" t="s">
        <v>94</v>
      </c>
      <c r="C1436" t="s">
        <v>267</v>
      </c>
      <c r="E1436" t="s">
        <v>1224</v>
      </c>
      <c r="F1436" t="s">
        <v>2111</v>
      </c>
      <c r="G1436" t="s">
        <v>2480</v>
      </c>
      <c r="H1436" t="s">
        <v>3461</v>
      </c>
      <c r="I1436" t="s">
        <v>3495</v>
      </c>
      <c r="J1436">
        <v>10035</v>
      </c>
      <c r="K1436" t="s">
        <v>3522</v>
      </c>
      <c r="L1436" t="s">
        <v>3525</v>
      </c>
      <c r="N1436" t="s">
        <v>4108</v>
      </c>
      <c r="O1436" t="s">
        <v>4134</v>
      </c>
      <c r="Q1436" t="s">
        <v>4147</v>
      </c>
      <c r="R1436" t="s">
        <v>3522</v>
      </c>
      <c r="T1436" t="s">
        <v>4156</v>
      </c>
      <c r="U1436" t="s">
        <v>4168</v>
      </c>
      <c r="V1436" t="s">
        <v>267</v>
      </c>
      <c r="W1436">
        <v>1230</v>
      </c>
      <c r="X1436" t="s">
        <v>4196</v>
      </c>
      <c r="Y1436" t="s">
        <v>4201</v>
      </c>
      <c r="Z1436" t="s">
        <v>5415</v>
      </c>
      <c r="AB1436" t="s">
        <v>6711</v>
      </c>
      <c r="AC1436">
        <v>60</v>
      </c>
      <c r="AD1436" t="s">
        <v>6780</v>
      </c>
      <c r="AE1436" t="s">
        <v>3526</v>
      </c>
      <c r="AF1436">
        <v>8</v>
      </c>
      <c r="AG1436">
        <v>2</v>
      </c>
      <c r="AH1436">
        <v>0</v>
      </c>
      <c r="AI1436">
        <v>413.96</v>
      </c>
      <c r="AL1436" t="s">
        <v>6801</v>
      </c>
      <c r="AM1436">
        <v>70000</v>
      </c>
    </row>
    <row r="1437" spans="1:42">
      <c r="A1437" s="1">
        <f>HYPERLINK("https://lsnyc.legalserver.org/matter/dynamic-profile/view/1909127","19-1909127")</f>
        <v>0</v>
      </c>
      <c r="B1437" t="s">
        <v>94</v>
      </c>
      <c r="C1437" t="s">
        <v>234</v>
      </c>
      <c r="E1437" t="s">
        <v>586</v>
      </c>
      <c r="F1437" t="s">
        <v>2112</v>
      </c>
      <c r="G1437" t="s">
        <v>2396</v>
      </c>
      <c r="H1437" t="s">
        <v>3262</v>
      </c>
      <c r="I1437" t="s">
        <v>3495</v>
      </c>
      <c r="J1437">
        <v>10035</v>
      </c>
      <c r="K1437" t="s">
        <v>3522</v>
      </c>
      <c r="L1437" t="s">
        <v>3525</v>
      </c>
      <c r="N1437" t="s">
        <v>3554</v>
      </c>
      <c r="O1437" t="s">
        <v>4135</v>
      </c>
      <c r="Q1437" t="s">
        <v>4147</v>
      </c>
      <c r="R1437" t="s">
        <v>3523</v>
      </c>
      <c r="T1437" t="s">
        <v>4156</v>
      </c>
      <c r="U1437" t="s">
        <v>4168</v>
      </c>
      <c r="V1437" t="s">
        <v>308</v>
      </c>
      <c r="W1437">
        <v>2150</v>
      </c>
      <c r="X1437" t="s">
        <v>4196</v>
      </c>
      <c r="Y1437" t="s">
        <v>4212</v>
      </c>
      <c r="Z1437" t="s">
        <v>5416</v>
      </c>
      <c r="AB1437" t="s">
        <v>6712</v>
      </c>
      <c r="AC1437">
        <v>72</v>
      </c>
      <c r="AD1437" t="s">
        <v>6772</v>
      </c>
      <c r="AE1437" t="s">
        <v>3526</v>
      </c>
      <c r="AF1437">
        <v>1</v>
      </c>
      <c r="AG1437">
        <v>2</v>
      </c>
      <c r="AH1437">
        <v>0</v>
      </c>
      <c r="AI1437">
        <v>413.96</v>
      </c>
      <c r="AL1437" t="s">
        <v>6801</v>
      </c>
      <c r="AM1437">
        <v>70000</v>
      </c>
    </row>
    <row r="1438" spans="1:42">
      <c r="A1438" s="1">
        <f>HYPERLINK("https://lsnyc.legalserver.org/matter/dynamic-profile/view/1914220","19-1914220")</f>
        <v>0</v>
      </c>
      <c r="B1438" t="s">
        <v>88</v>
      </c>
      <c r="C1438" t="s">
        <v>245</v>
      </c>
      <c r="E1438" t="s">
        <v>1225</v>
      </c>
      <c r="F1438" t="s">
        <v>1922</v>
      </c>
      <c r="G1438" t="s">
        <v>3100</v>
      </c>
      <c r="H1438">
        <v>31</v>
      </c>
      <c r="I1438" t="s">
        <v>3495</v>
      </c>
      <c r="J1438">
        <v>10034</v>
      </c>
      <c r="K1438" t="s">
        <v>3522</v>
      </c>
      <c r="L1438" t="s">
        <v>3525</v>
      </c>
      <c r="N1438" t="s">
        <v>4110</v>
      </c>
      <c r="O1438" t="s">
        <v>4136</v>
      </c>
      <c r="Q1438" t="s">
        <v>4147</v>
      </c>
      <c r="R1438" t="s">
        <v>3523</v>
      </c>
      <c r="T1438" t="s">
        <v>4156</v>
      </c>
      <c r="V1438" t="s">
        <v>245</v>
      </c>
      <c r="W1438">
        <v>1159.32</v>
      </c>
      <c r="X1438" t="s">
        <v>4196</v>
      </c>
      <c r="Y1438" t="s">
        <v>4205</v>
      </c>
      <c r="Z1438" t="s">
        <v>5417</v>
      </c>
      <c r="AC1438">
        <v>26</v>
      </c>
      <c r="AD1438" t="s">
        <v>6772</v>
      </c>
      <c r="AE1438" t="s">
        <v>3526</v>
      </c>
      <c r="AF1438">
        <v>22</v>
      </c>
      <c r="AG1438">
        <v>2</v>
      </c>
      <c r="AH1438">
        <v>0</v>
      </c>
      <c r="AI1438">
        <v>413.96</v>
      </c>
      <c r="AL1438" t="s">
        <v>6802</v>
      </c>
      <c r="AM1438">
        <v>70000</v>
      </c>
    </row>
    <row r="1439" spans="1:42">
      <c r="A1439" s="1">
        <f>HYPERLINK("https://lsnyc.legalserver.org/matter/dynamic-profile/view/1904723","19-1904723")</f>
        <v>0</v>
      </c>
      <c r="B1439" t="s">
        <v>90</v>
      </c>
      <c r="C1439" t="s">
        <v>246</v>
      </c>
      <c r="E1439" t="s">
        <v>838</v>
      </c>
      <c r="F1439" t="s">
        <v>1447</v>
      </c>
      <c r="G1439" t="s">
        <v>2876</v>
      </c>
      <c r="H1439" t="s">
        <v>3426</v>
      </c>
      <c r="I1439" t="s">
        <v>3495</v>
      </c>
      <c r="J1439">
        <v>10034</v>
      </c>
      <c r="K1439" t="s">
        <v>3522</v>
      </c>
      <c r="L1439" t="s">
        <v>3525</v>
      </c>
      <c r="N1439" t="s">
        <v>4108</v>
      </c>
      <c r="O1439" t="s">
        <v>4134</v>
      </c>
      <c r="Q1439" t="s">
        <v>4147</v>
      </c>
      <c r="R1439" t="s">
        <v>3522</v>
      </c>
      <c r="T1439" t="s">
        <v>4156</v>
      </c>
      <c r="V1439" t="s">
        <v>246</v>
      </c>
      <c r="W1439">
        <v>1625</v>
      </c>
      <c r="X1439" t="s">
        <v>4196</v>
      </c>
      <c r="Y1439" t="s">
        <v>4205</v>
      </c>
      <c r="Z1439" t="s">
        <v>5418</v>
      </c>
      <c r="AB1439" t="s">
        <v>6713</v>
      </c>
      <c r="AC1439">
        <v>43</v>
      </c>
      <c r="AD1439" t="s">
        <v>6772</v>
      </c>
      <c r="AE1439" t="s">
        <v>3526</v>
      </c>
      <c r="AF1439">
        <v>2</v>
      </c>
      <c r="AG1439">
        <v>2</v>
      </c>
      <c r="AH1439">
        <v>0</v>
      </c>
      <c r="AI1439">
        <v>413.96</v>
      </c>
      <c r="AL1439" t="s">
        <v>6801</v>
      </c>
      <c r="AM1439">
        <v>70000</v>
      </c>
    </row>
    <row r="1440" spans="1:42">
      <c r="A1440" s="1">
        <f>HYPERLINK("https://lsnyc.legalserver.org/matter/dynamic-profile/view/1910836","19-1910836")</f>
        <v>0</v>
      </c>
      <c r="B1440" t="s">
        <v>89</v>
      </c>
      <c r="C1440" t="s">
        <v>201</v>
      </c>
      <c r="D1440" t="s">
        <v>251</v>
      </c>
      <c r="E1440" t="s">
        <v>1226</v>
      </c>
      <c r="F1440" t="s">
        <v>1645</v>
      </c>
      <c r="G1440" t="s">
        <v>3101</v>
      </c>
      <c r="H1440" t="s">
        <v>3189</v>
      </c>
      <c r="I1440" t="s">
        <v>3495</v>
      </c>
      <c r="J1440">
        <v>10033</v>
      </c>
      <c r="K1440" t="s">
        <v>3522</v>
      </c>
      <c r="L1440" t="s">
        <v>3525</v>
      </c>
      <c r="O1440" t="s">
        <v>4132</v>
      </c>
      <c r="P1440" t="s">
        <v>4139</v>
      </c>
      <c r="Q1440" t="s">
        <v>4147</v>
      </c>
      <c r="R1440" t="s">
        <v>3523</v>
      </c>
      <c r="T1440" t="s">
        <v>4156</v>
      </c>
      <c r="V1440" t="s">
        <v>201</v>
      </c>
      <c r="W1440">
        <v>1995.04</v>
      </c>
      <c r="X1440" t="s">
        <v>4196</v>
      </c>
      <c r="Y1440" t="s">
        <v>4205</v>
      </c>
      <c r="Z1440" t="s">
        <v>5419</v>
      </c>
      <c r="AB1440" t="s">
        <v>6714</v>
      </c>
      <c r="AC1440">
        <v>29</v>
      </c>
      <c r="AD1440" t="s">
        <v>6772</v>
      </c>
      <c r="AE1440" t="s">
        <v>3526</v>
      </c>
      <c r="AF1440">
        <v>4</v>
      </c>
      <c r="AG1440">
        <v>2</v>
      </c>
      <c r="AH1440">
        <v>0</v>
      </c>
      <c r="AI1440">
        <v>413.96</v>
      </c>
      <c r="AL1440" t="s">
        <v>6801</v>
      </c>
      <c r="AM1440">
        <v>70000</v>
      </c>
    </row>
    <row r="1441" spans="1:40">
      <c r="A1441" s="1">
        <f>HYPERLINK("https://lsnyc.legalserver.org/matter/dynamic-profile/view/1912638","19-1912638")</f>
        <v>0</v>
      </c>
      <c r="B1441" t="s">
        <v>82</v>
      </c>
      <c r="C1441" t="s">
        <v>178</v>
      </c>
      <c r="D1441" t="s">
        <v>287</v>
      </c>
      <c r="E1441" t="s">
        <v>788</v>
      </c>
      <c r="F1441" t="s">
        <v>1475</v>
      </c>
      <c r="G1441" t="s">
        <v>3102</v>
      </c>
      <c r="H1441" t="s">
        <v>3178</v>
      </c>
      <c r="I1441" t="s">
        <v>3493</v>
      </c>
      <c r="J1441">
        <v>10463</v>
      </c>
      <c r="K1441" t="s">
        <v>3522</v>
      </c>
      <c r="L1441" t="s">
        <v>3525</v>
      </c>
      <c r="N1441" t="s">
        <v>3554</v>
      </c>
      <c r="O1441" t="s">
        <v>4132</v>
      </c>
      <c r="P1441" t="s">
        <v>4139</v>
      </c>
      <c r="Q1441" t="s">
        <v>4147</v>
      </c>
      <c r="R1441" t="s">
        <v>3523</v>
      </c>
      <c r="T1441" t="s">
        <v>4156</v>
      </c>
      <c r="V1441" t="s">
        <v>178</v>
      </c>
      <c r="W1441">
        <v>1450</v>
      </c>
      <c r="X1441" t="s">
        <v>4194</v>
      </c>
      <c r="Y1441" t="s">
        <v>4206</v>
      </c>
      <c r="Z1441" t="s">
        <v>5420</v>
      </c>
      <c r="AC1441">
        <v>45</v>
      </c>
      <c r="AD1441" t="s">
        <v>6772</v>
      </c>
      <c r="AE1441" t="s">
        <v>3526</v>
      </c>
      <c r="AF1441">
        <v>3</v>
      </c>
      <c r="AG1441">
        <v>2</v>
      </c>
      <c r="AH1441">
        <v>0</v>
      </c>
      <c r="AI1441">
        <v>415.67</v>
      </c>
      <c r="AL1441" t="s">
        <v>6801</v>
      </c>
      <c r="AM1441">
        <v>70290</v>
      </c>
    </row>
    <row r="1442" spans="1:40">
      <c r="A1442" s="1">
        <f>HYPERLINK("https://lsnyc.legalserver.org/matter/dynamic-profile/view/1907100","19-1907100")</f>
        <v>0</v>
      </c>
      <c r="B1442" t="s">
        <v>83</v>
      </c>
      <c r="C1442" t="s">
        <v>244</v>
      </c>
      <c r="D1442" t="s">
        <v>279</v>
      </c>
      <c r="E1442" t="s">
        <v>1227</v>
      </c>
      <c r="F1442" t="s">
        <v>2113</v>
      </c>
      <c r="G1442" t="s">
        <v>2425</v>
      </c>
      <c r="H1442">
        <v>803</v>
      </c>
      <c r="I1442" t="s">
        <v>3493</v>
      </c>
      <c r="J1442">
        <v>10457</v>
      </c>
      <c r="K1442" t="s">
        <v>3522</v>
      </c>
      <c r="L1442" t="s">
        <v>3525</v>
      </c>
      <c r="M1442" t="s">
        <v>4098</v>
      </c>
      <c r="N1442" t="s">
        <v>4119</v>
      </c>
      <c r="O1442" t="s">
        <v>4132</v>
      </c>
      <c r="P1442" t="s">
        <v>4139</v>
      </c>
      <c r="Q1442" t="s">
        <v>4147</v>
      </c>
      <c r="R1442" t="s">
        <v>3523</v>
      </c>
      <c r="T1442" t="s">
        <v>4156</v>
      </c>
      <c r="V1442" t="s">
        <v>279</v>
      </c>
      <c r="W1442">
        <v>1000</v>
      </c>
      <c r="X1442" t="s">
        <v>4194</v>
      </c>
      <c r="Y1442" t="s">
        <v>4206</v>
      </c>
      <c r="Z1442" t="s">
        <v>5421</v>
      </c>
      <c r="AB1442" t="s">
        <v>6715</v>
      </c>
      <c r="AC1442">
        <v>99</v>
      </c>
      <c r="AD1442" t="s">
        <v>6772</v>
      </c>
      <c r="AE1442" t="s">
        <v>3526</v>
      </c>
      <c r="AF1442">
        <v>13</v>
      </c>
      <c r="AG1442">
        <v>1</v>
      </c>
      <c r="AH1442">
        <v>0</v>
      </c>
      <c r="AI1442">
        <v>416.33</v>
      </c>
      <c r="AL1442" t="s">
        <v>6801</v>
      </c>
      <c r="AM1442">
        <v>52000</v>
      </c>
    </row>
    <row r="1443" spans="1:40">
      <c r="A1443" s="1">
        <f>HYPERLINK("https://lsnyc.legalserver.org/matter/dynamic-profile/view/1908368","19-1908368")</f>
        <v>0</v>
      </c>
      <c r="B1443" t="s">
        <v>94</v>
      </c>
      <c r="C1443" t="s">
        <v>303</v>
      </c>
      <c r="D1443" t="s">
        <v>220</v>
      </c>
      <c r="E1443" t="s">
        <v>433</v>
      </c>
      <c r="F1443" t="s">
        <v>1480</v>
      </c>
      <c r="G1443" t="s">
        <v>2396</v>
      </c>
      <c r="H1443" t="s">
        <v>3148</v>
      </c>
      <c r="I1443" t="s">
        <v>3495</v>
      </c>
      <c r="J1443">
        <v>10035</v>
      </c>
      <c r="K1443" t="s">
        <v>3522</v>
      </c>
      <c r="L1443" t="s">
        <v>3525</v>
      </c>
      <c r="N1443" t="s">
        <v>4108</v>
      </c>
      <c r="O1443" t="s">
        <v>4135</v>
      </c>
      <c r="P1443" t="s">
        <v>4142</v>
      </c>
      <c r="Q1443" t="s">
        <v>4147</v>
      </c>
      <c r="R1443" t="s">
        <v>3522</v>
      </c>
      <c r="T1443" t="s">
        <v>4156</v>
      </c>
      <c r="U1443" t="s">
        <v>4168</v>
      </c>
      <c r="V1443" t="s">
        <v>193</v>
      </c>
      <c r="W1443">
        <v>72</v>
      </c>
      <c r="X1443" t="s">
        <v>4196</v>
      </c>
      <c r="Y1443" t="s">
        <v>4198</v>
      </c>
      <c r="Z1443" t="s">
        <v>5422</v>
      </c>
      <c r="AB1443" t="s">
        <v>6716</v>
      </c>
      <c r="AC1443">
        <v>72</v>
      </c>
      <c r="AD1443" t="s">
        <v>6772</v>
      </c>
      <c r="AE1443" t="s">
        <v>6786</v>
      </c>
      <c r="AF1443">
        <v>20</v>
      </c>
      <c r="AG1443">
        <v>1</v>
      </c>
      <c r="AH1443">
        <v>0</v>
      </c>
      <c r="AI1443">
        <v>416.33</v>
      </c>
      <c r="AL1443" t="s">
        <v>6801</v>
      </c>
      <c r="AM1443">
        <v>52000</v>
      </c>
    </row>
    <row r="1444" spans="1:40">
      <c r="A1444" s="1">
        <f>HYPERLINK("https://lsnyc.legalserver.org/matter/dynamic-profile/view/1905257","19-1905257")</f>
        <v>0</v>
      </c>
      <c r="B1444" t="s">
        <v>99</v>
      </c>
      <c r="C1444" t="s">
        <v>255</v>
      </c>
      <c r="E1444" t="s">
        <v>716</v>
      </c>
      <c r="F1444" t="s">
        <v>2114</v>
      </c>
      <c r="G1444" t="s">
        <v>2283</v>
      </c>
      <c r="H1444" t="s">
        <v>3131</v>
      </c>
      <c r="I1444" t="s">
        <v>3495</v>
      </c>
      <c r="J1444">
        <v>10024</v>
      </c>
      <c r="K1444" t="s">
        <v>3522</v>
      </c>
      <c r="L1444" t="s">
        <v>3525</v>
      </c>
      <c r="M1444" t="s">
        <v>3599</v>
      </c>
      <c r="N1444" t="s">
        <v>4110</v>
      </c>
      <c r="O1444" t="s">
        <v>4137</v>
      </c>
      <c r="Q1444" t="s">
        <v>4147</v>
      </c>
      <c r="R1444" t="s">
        <v>3522</v>
      </c>
      <c r="T1444" t="s">
        <v>4156</v>
      </c>
      <c r="U1444" t="s">
        <v>4168</v>
      </c>
      <c r="V1444" t="s">
        <v>255</v>
      </c>
      <c r="W1444">
        <v>1009</v>
      </c>
      <c r="X1444" t="s">
        <v>4196</v>
      </c>
      <c r="Y1444" t="s">
        <v>4207</v>
      </c>
      <c r="Z1444" t="s">
        <v>5423</v>
      </c>
      <c r="AB1444" t="s">
        <v>6717</v>
      </c>
      <c r="AC1444">
        <v>10</v>
      </c>
      <c r="AD1444" t="s">
        <v>6772</v>
      </c>
      <c r="AE1444" t="s">
        <v>3526</v>
      </c>
      <c r="AF1444">
        <v>42</v>
      </c>
      <c r="AG1444">
        <v>1</v>
      </c>
      <c r="AH1444">
        <v>0</v>
      </c>
      <c r="AI1444">
        <v>424.34</v>
      </c>
      <c r="AL1444" t="s">
        <v>6801</v>
      </c>
      <c r="AM1444">
        <v>53000</v>
      </c>
    </row>
    <row r="1445" spans="1:40">
      <c r="A1445" s="1">
        <f>HYPERLINK("https://lsnyc.legalserver.org/matter/dynamic-profile/view/1913275","19-1913275")</f>
        <v>0</v>
      </c>
      <c r="B1445" t="s">
        <v>91</v>
      </c>
      <c r="C1445" t="s">
        <v>359</v>
      </c>
      <c r="D1445" t="s">
        <v>248</v>
      </c>
      <c r="E1445" t="s">
        <v>1228</v>
      </c>
      <c r="F1445" t="s">
        <v>2115</v>
      </c>
      <c r="G1445" t="s">
        <v>3103</v>
      </c>
      <c r="H1445">
        <v>204</v>
      </c>
      <c r="I1445" t="s">
        <v>3495</v>
      </c>
      <c r="J1445">
        <v>10019</v>
      </c>
      <c r="K1445" t="s">
        <v>3522</v>
      </c>
      <c r="L1445" t="s">
        <v>3525</v>
      </c>
      <c r="N1445" t="s">
        <v>3554</v>
      </c>
      <c r="O1445" t="s">
        <v>4135</v>
      </c>
      <c r="P1445" t="s">
        <v>4142</v>
      </c>
      <c r="Q1445" t="s">
        <v>4148</v>
      </c>
      <c r="R1445" t="s">
        <v>3523</v>
      </c>
      <c r="T1445" t="s">
        <v>4156</v>
      </c>
      <c r="U1445" t="s">
        <v>4168</v>
      </c>
      <c r="V1445" t="s">
        <v>359</v>
      </c>
      <c r="W1445">
        <v>3300</v>
      </c>
      <c r="X1445" t="s">
        <v>4196</v>
      </c>
      <c r="Y1445" t="s">
        <v>4199</v>
      </c>
      <c r="Z1445" t="s">
        <v>5424</v>
      </c>
      <c r="AB1445" t="s">
        <v>6718</v>
      </c>
      <c r="AC1445">
        <v>0</v>
      </c>
      <c r="AD1445" t="s">
        <v>6771</v>
      </c>
      <c r="AE1445" t="s">
        <v>3526</v>
      </c>
      <c r="AF1445">
        <v>1</v>
      </c>
      <c r="AG1445">
        <v>2</v>
      </c>
      <c r="AH1445">
        <v>0</v>
      </c>
      <c r="AI1445">
        <v>425.78</v>
      </c>
      <c r="AJ1445" t="s">
        <v>6795</v>
      </c>
      <c r="AK1445" t="s">
        <v>6798</v>
      </c>
      <c r="AL1445" t="s">
        <v>6801</v>
      </c>
      <c r="AM1445">
        <v>72000</v>
      </c>
    </row>
    <row r="1446" spans="1:40">
      <c r="A1446" s="1">
        <f>HYPERLINK("https://lsnyc.legalserver.org/matter/dynamic-profile/view/1910842","19-1910842")</f>
        <v>0</v>
      </c>
      <c r="B1446" t="s">
        <v>89</v>
      </c>
      <c r="C1446" t="s">
        <v>201</v>
      </c>
      <c r="D1446" t="s">
        <v>383</v>
      </c>
      <c r="E1446" t="s">
        <v>891</v>
      </c>
      <c r="F1446" t="s">
        <v>2116</v>
      </c>
      <c r="G1446" t="s">
        <v>3104</v>
      </c>
      <c r="I1446" t="s">
        <v>3495</v>
      </c>
      <c r="J1446">
        <v>10032</v>
      </c>
      <c r="K1446" t="s">
        <v>3522</v>
      </c>
      <c r="L1446" t="s">
        <v>3525</v>
      </c>
      <c r="N1446" t="s">
        <v>4113</v>
      </c>
      <c r="O1446" t="s">
        <v>4132</v>
      </c>
      <c r="P1446" t="s">
        <v>4139</v>
      </c>
      <c r="Q1446" t="s">
        <v>4147</v>
      </c>
      <c r="R1446" t="s">
        <v>3523</v>
      </c>
      <c r="T1446" t="s">
        <v>4156</v>
      </c>
      <c r="V1446" t="s">
        <v>201</v>
      </c>
      <c r="W1446">
        <v>1650</v>
      </c>
      <c r="X1446" t="s">
        <v>4196</v>
      </c>
      <c r="Y1446" t="s">
        <v>4205</v>
      </c>
      <c r="Z1446" t="s">
        <v>5425</v>
      </c>
      <c r="AB1446" t="s">
        <v>6719</v>
      </c>
      <c r="AC1446">
        <v>36</v>
      </c>
      <c r="AD1446" t="s">
        <v>6772</v>
      </c>
      <c r="AE1446" t="s">
        <v>3526</v>
      </c>
      <c r="AF1446">
        <v>15</v>
      </c>
      <c r="AG1446">
        <v>2</v>
      </c>
      <c r="AH1446">
        <v>0</v>
      </c>
      <c r="AI1446">
        <v>431.7</v>
      </c>
      <c r="AL1446" t="s">
        <v>6801</v>
      </c>
      <c r="AM1446">
        <v>73000</v>
      </c>
    </row>
    <row r="1447" spans="1:40">
      <c r="A1447" s="1">
        <f>HYPERLINK("https://lsnyc.legalserver.org/matter/dynamic-profile/view/1914788","19-1914788")</f>
        <v>0</v>
      </c>
      <c r="B1447" t="s">
        <v>67</v>
      </c>
      <c r="C1447" t="s">
        <v>267</v>
      </c>
      <c r="E1447" t="s">
        <v>582</v>
      </c>
      <c r="F1447" t="s">
        <v>2117</v>
      </c>
      <c r="G1447" t="s">
        <v>2212</v>
      </c>
      <c r="H1447">
        <v>44</v>
      </c>
      <c r="I1447" t="s">
        <v>3490</v>
      </c>
      <c r="J1447">
        <v>11213</v>
      </c>
      <c r="K1447" t="s">
        <v>3522</v>
      </c>
      <c r="L1447" t="s">
        <v>3525</v>
      </c>
      <c r="M1447" t="s">
        <v>3847</v>
      </c>
      <c r="N1447" t="s">
        <v>4115</v>
      </c>
      <c r="O1447" t="s">
        <v>4134</v>
      </c>
      <c r="Q1447" t="s">
        <v>4147</v>
      </c>
      <c r="R1447" t="s">
        <v>3522</v>
      </c>
      <c r="T1447" t="s">
        <v>4156</v>
      </c>
      <c r="U1447" t="s">
        <v>4168</v>
      </c>
      <c r="V1447" t="s">
        <v>186</v>
      </c>
      <c r="W1447">
        <v>996.34</v>
      </c>
      <c r="X1447" t="s">
        <v>4193</v>
      </c>
      <c r="Z1447" t="s">
        <v>5426</v>
      </c>
      <c r="AA1447" t="s">
        <v>3562</v>
      </c>
      <c r="AB1447" t="s">
        <v>6720</v>
      </c>
      <c r="AC1447">
        <v>31</v>
      </c>
      <c r="AD1447" t="s">
        <v>6772</v>
      </c>
      <c r="AE1447" t="s">
        <v>3526</v>
      </c>
      <c r="AF1447">
        <v>15</v>
      </c>
      <c r="AG1447">
        <v>1</v>
      </c>
      <c r="AH1447">
        <v>0</v>
      </c>
      <c r="AI1447">
        <v>432.35</v>
      </c>
      <c r="AK1447" t="s">
        <v>6799</v>
      </c>
      <c r="AL1447" t="s">
        <v>6801</v>
      </c>
      <c r="AM1447">
        <v>54000</v>
      </c>
      <c r="AN1447" t="s">
        <v>6902</v>
      </c>
    </row>
    <row r="1448" spans="1:40">
      <c r="A1448" s="1">
        <f>HYPERLINK("https://lsnyc.legalserver.org/matter/dynamic-profile/view/1914633","19-1914633")</f>
        <v>0</v>
      </c>
      <c r="B1448" t="s">
        <v>58</v>
      </c>
      <c r="C1448" t="s">
        <v>269</v>
      </c>
      <c r="E1448" t="s">
        <v>582</v>
      </c>
      <c r="F1448" t="s">
        <v>2117</v>
      </c>
      <c r="G1448" t="s">
        <v>2212</v>
      </c>
      <c r="H1448">
        <v>44</v>
      </c>
      <c r="I1448" t="s">
        <v>3490</v>
      </c>
      <c r="J1448">
        <v>11213</v>
      </c>
      <c r="K1448" t="s">
        <v>3522</v>
      </c>
      <c r="L1448" t="s">
        <v>3525</v>
      </c>
      <c r="M1448" t="s">
        <v>3562</v>
      </c>
      <c r="N1448" t="s">
        <v>4110</v>
      </c>
      <c r="O1448" t="s">
        <v>4137</v>
      </c>
      <c r="Q1448" t="s">
        <v>4147</v>
      </c>
      <c r="R1448" t="s">
        <v>3522</v>
      </c>
      <c r="T1448" t="s">
        <v>4156</v>
      </c>
      <c r="U1448" t="s">
        <v>4168</v>
      </c>
      <c r="V1448" t="s">
        <v>186</v>
      </c>
      <c r="W1448">
        <v>996.34</v>
      </c>
      <c r="X1448" t="s">
        <v>4193</v>
      </c>
      <c r="Y1448" t="s">
        <v>4206</v>
      </c>
      <c r="Z1448" t="s">
        <v>5426</v>
      </c>
      <c r="AA1448" t="s">
        <v>3562</v>
      </c>
      <c r="AB1448" t="s">
        <v>6720</v>
      </c>
      <c r="AC1448">
        <v>31</v>
      </c>
      <c r="AD1448" t="s">
        <v>6772</v>
      </c>
      <c r="AE1448" t="s">
        <v>3526</v>
      </c>
      <c r="AF1448">
        <v>15</v>
      </c>
      <c r="AG1448">
        <v>1</v>
      </c>
      <c r="AH1448">
        <v>0</v>
      </c>
      <c r="AI1448">
        <v>432.35</v>
      </c>
      <c r="AK1448" t="s">
        <v>6799</v>
      </c>
      <c r="AL1448" t="s">
        <v>6801</v>
      </c>
      <c r="AM1448">
        <v>54000</v>
      </c>
      <c r="AN1448" t="s">
        <v>6903</v>
      </c>
    </row>
    <row r="1449" spans="1:40">
      <c r="A1449" s="1">
        <f>HYPERLINK("https://lsnyc.legalserver.org/matter/dynamic-profile/view/1914635","19-1914635")</f>
        <v>0</v>
      </c>
      <c r="B1449" t="s">
        <v>58</v>
      </c>
      <c r="C1449" t="s">
        <v>269</v>
      </c>
      <c r="E1449" t="s">
        <v>582</v>
      </c>
      <c r="F1449" t="s">
        <v>2117</v>
      </c>
      <c r="G1449" t="s">
        <v>2212</v>
      </c>
      <c r="H1449">
        <v>44</v>
      </c>
      <c r="I1449" t="s">
        <v>3490</v>
      </c>
      <c r="J1449">
        <v>11213</v>
      </c>
      <c r="K1449" t="s">
        <v>3522</v>
      </c>
      <c r="L1449" t="s">
        <v>3525</v>
      </c>
      <c r="M1449" t="s">
        <v>3570</v>
      </c>
      <c r="N1449" t="s">
        <v>4110</v>
      </c>
      <c r="O1449" t="s">
        <v>4137</v>
      </c>
      <c r="Q1449" t="s">
        <v>4147</v>
      </c>
      <c r="R1449" t="s">
        <v>3523</v>
      </c>
      <c r="T1449" t="s">
        <v>4156</v>
      </c>
      <c r="U1449" t="s">
        <v>4168</v>
      </c>
      <c r="V1449" t="s">
        <v>186</v>
      </c>
      <c r="W1449">
        <v>996.34</v>
      </c>
      <c r="X1449" t="s">
        <v>4193</v>
      </c>
      <c r="Y1449" t="s">
        <v>4206</v>
      </c>
      <c r="Z1449" t="s">
        <v>5426</v>
      </c>
      <c r="AA1449" t="s">
        <v>3562</v>
      </c>
      <c r="AB1449" t="s">
        <v>6720</v>
      </c>
      <c r="AC1449">
        <v>31</v>
      </c>
      <c r="AD1449" t="s">
        <v>6772</v>
      </c>
      <c r="AE1449" t="s">
        <v>3526</v>
      </c>
      <c r="AF1449">
        <v>15</v>
      </c>
      <c r="AG1449">
        <v>1</v>
      </c>
      <c r="AH1449">
        <v>0</v>
      </c>
      <c r="AI1449">
        <v>432.35</v>
      </c>
      <c r="AK1449" t="s">
        <v>6799</v>
      </c>
      <c r="AL1449" t="s">
        <v>6801</v>
      </c>
      <c r="AM1449">
        <v>54000</v>
      </c>
      <c r="AN1449" t="s">
        <v>6903</v>
      </c>
    </row>
    <row r="1450" spans="1:40">
      <c r="A1450" s="1">
        <f>HYPERLINK("https://lsnyc.legalserver.org/matter/dynamic-profile/view/1913297","19-1913297")</f>
        <v>0</v>
      </c>
      <c r="B1450" t="s">
        <v>54</v>
      </c>
      <c r="C1450" t="s">
        <v>359</v>
      </c>
      <c r="E1450" t="s">
        <v>582</v>
      </c>
      <c r="F1450" t="s">
        <v>2117</v>
      </c>
      <c r="G1450" t="s">
        <v>2212</v>
      </c>
      <c r="H1450">
        <v>44</v>
      </c>
      <c r="I1450" t="s">
        <v>3490</v>
      </c>
      <c r="J1450">
        <v>11213</v>
      </c>
      <c r="K1450" t="s">
        <v>3522</v>
      </c>
      <c r="L1450" t="s">
        <v>3525</v>
      </c>
      <c r="M1450" t="s">
        <v>3526</v>
      </c>
      <c r="N1450" t="s">
        <v>3554</v>
      </c>
      <c r="O1450" t="s">
        <v>4135</v>
      </c>
      <c r="Q1450" t="s">
        <v>4147</v>
      </c>
      <c r="R1450" t="s">
        <v>3522</v>
      </c>
      <c r="T1450" t="s">
        <v>4156</v>
      </c>
      <c r="U1450" t="s">
        <v>4168</v>
      </c>
      <c r="V1450" t="s">
        <v>359</v>
      </c>
      <c r="W1450">
        <v>996.34</v>
      </c>
      <c r="X1450" t="s">
        <v>4193</v>
      </c>
      <c r="Z1450" t="s">
        <v>5426</v>
      </c>
      <c r="AA1450" t="s">
        <v>3562</v>
      </c>
      <c r="AB1450" t="s">
        <v>6720</v>
      </c>
      <c r="AC1450">
        <v>31</v>
      </c>
      <c r="AD1450" t="s">
        <v>6772</v>
      </c>
      <c r="AE1450" t="s">
        <v>3526</v>
      </c>
      <c r="AF1450">
        <v>15</v>
      </c>
      <c r="AG1450">
        <v>1</v>
      </c>
      <c r="AH1450">
        <v>0</v>
      </c>
      <c r="AI1450">
        <v>432.35</v>
      </c>
      <c r="AL1450" t="s">
        <v>6801</v>
      </c>
      <c r="AM1450">
        <v>54000</v>
      </c>
      <c r="AN1450" t="s">
        <v>6904</v>
      </c>
    </row>
    <row r="1451" spans="1:40">
      <c r="A1451" s="1">
        <f>HYPERLINK("https://lsnyc.legalserver.org/matter/dynamic-profile/view/1916657","19-1916657")</f>
        <v>0</v>
      </c>
      <c r="B1451" t="s">
        <v>58</v>
      </c>
      <c r="C1451" t="s">
        <v>213</v>
      </c>
      <c r="E1451" t="s">
        <v>1229</v>
      </c>
      <c r="F1451" t="s">
        <v>588</v>
      </c>
      <c r="G1451" t="s">
        <v>2216</v>
      </c>
      <c r="H1451" t="s">
        <v>3170</v>
      </c>
      <c r="I1451" t="s">
        <v>3490</v>
      </c>
      <c r="J1451">
        <v>11212</v>
      </c>
      <c r="K1451" t="s">
        <v>3522</v>
      </c>
      <c r="L1451" t="s">
        <v>3525</v>
      </c>
      <c r="M1451" t="s">
        <v>3554</v>
      </c>
      <c r="N1451" t="s">
        <v>3554</v>
      </c>
      <c r="O1451" t="s">
        <v>4132</v>
      </c>
      <c r="Q1451" t="s">
        <v>4147</v>
      </c>
      <c r="R1451" t="s">
        <v>3522</v>
      </c>
      <c r="T1451" t="s">
        <v>4160</v>
      </c>
      <c r="V1451" t="s">
        <v>4191</v>
      </c>
      <c r="W1451">
        <v>0</v>
      </c>
      <c r="X1451" t="s">
        <v>4193</v>
      </c>
      <c r="Z1451" t="s">
        <v>5427</v>
      </c>
      <c r="AB1451" t="s">
        <v>6721</v>
      </c>
      <c r="AC1451">
        <v>8</v>
      </c>
      <c r="AD1451" t="s">
        <v>6772</v>
      </c>
      <c r="AF1451">
        <v>0</v>
      </c>
      <c r="AG1451">
        <v>2</v>
      </c>
      <c r="AH1451">
        <v>1</v>
      </c>
      <c r="AI1451">
        <v>436.01</v>
      </c>
      <c r="AL1451" t="s">
        <v>6801</v>
      </c>
      <c r="AM1451">
        <v>93000</v>
      </c>
    </row>
    <row r="1452" spans="1:40">
      <c r="A1452" s="1">
        <f>HYPERLINK("https://lsnyc.legalserver.org/matter/dynamic-profile/view/1909534","19-1909534")</f>
        <v>0</v>
      </c>
      <c r="B1452" t="s">
        <v>79</v>
      </c>
      <c r="C1452" t="s">
        <v>184</v>
      </c>
      <c r="D1452" t="s">
        <v>227</v>
      </c>
      <c r="E1452" t="s">
        <v>409</v>
      </c>
      <c r="F1452" t="s">
        <v>2118</v>
      </c>
      <c r="G1452" t="s">
        <v>3105</v>
      </c>
      <c r="H1452" t="s">
        <v>3385</v>
      </c>
      <c r="I1452" t="s">
        <v>3493</v>
      </c>
      <c r="J1452">
        <v>10471</v>
      </c>
      <c r="K1452" t="s">
        <v>3522</v>
      </c>
      <c r="L1452" t="s">
        <v>3525</v>
      </c>
      <c r="M1452" t="s">
        <v>3562</v>
      </c>
      <c r="N1452" t="s">
        <v>4110</v>
      </c>
      <c r="O1452" t="s">
        <v>4132</v>
      </c>
      <c r="P1452" t="s">
        <v>4139</v>
      </c>
      <c r="Q1452" t="s">
        <v>4147</v>
      </c>
      <c r="R1452" t="s">
        <v>3523</v>
      </c>
      <c r="T1452" t="s">
        <v>4156</v>
      </c>
      <c r="U1452" t="s">
        <v>4168</v>
      </c>
      <c r="V1452" t="s">
        <v>227</v>
      </c>
      <c r="W1452">
        <v>2400</v>
      </c>
      <c r="X1452" t="s">
        <v>4194</v>
      </c>
      <c r="Y1452" t="s">
        <v>4198</v>
      </c>
      <c r="Z1452" t="s">
        <v>5384</v>
      </c>
      <c r="AB1452" t="s">
        <v>6722</v>
      </c>
      <c r="AC1452">
        <v>6</v>
      </c>
      <c r="AD1452" t="s">
        <v>6772</v>
      </c>
      <c r="AE1452" t="s">
        <v>3526</v>
      </c>
      <c r="AF1452">
        <v>2</v>
      </c>
      <c r="AG1452">
        <v>1</v>
      </c>
      <c r="AH1452">
        <v>1</v>
      </c>
      <c r="AI1452">
        <v>443.52</v>
      </c>
      <c r="AL1452" t="s">
        <v>6801</v>
      </c>
      <c r="AM1452">
        <v>75000</v>
      </c>
    </row>
    <row r="1453" spans="1:40">
      <c r="A1453" s="1">
        <f>HYPERLINK("https://lsnyc.legalserver.org/matter/dynamic-profile/view/1914092","19-1914092")</f>
        <v>0</v>
      </c>
      <c r="B1453" t="s">
        <v>91</v>
      </c>
      <c r="C1453" t="s">
        <v>191</v>
      </c>
      <c r="E1453" t="s">
        <v>460</v>
      </c>
      <c r="F1453" t="s">
        <v>2119</v>
      </c>
      <c r="G1453" t="s">
        <v>2612</v>
      </c>
      <c r="H1453" t="s">
        <v>3470</v>
      </c>
      <c r="I1453" t="s">
        <v>3495</v>
      </c>
      <c r="J1453">
        <v>10037</v>
      </c>
      <c r="K1453" t="s">
        <v>3522</v>
      </c>
      <c r="L1453" t="s">
        <v>3525</v>
      </c>
      <c r="N1453" t="s">
        <v>4108</v>
      </c>
      <c r="O1453" t="s">
        <v>4134</v>
      </c>
      <c r="Q1453" t="s">
        <v>4147</v>
      </c>
      <c r="R1453" t="s">
        <v>3522</v>
      </c>
      <c r="T1453" t="s">
        <v>4156</v>
      </c>
      <c r="U1453" t="s">
        <v>4168</v>
      </c>
      <c r="V1453" t="s">
        <v>263</v>
      </c>
      <c r="W1453">
        <v>2300</v>
      </c>
      <c r="X1453" t="s">
        <v>4196</v>
      </c>
      <c r="Y1453" t="s">
        <v>4198</v>
      </c>
      <c r="Z1453" t="s">
        <v>5428</v>
      </c>
      <c r="AB1453" t="s">
        <v>6723</v>
      </c>
      <c r="AC1453">
        <v>259</v>
      </c>
      <c r="AD1453" t="s">
        <v>6772</v>
      </c>
      <c r="AE1453" t="s">
        <v>3526</v>
      </c>
      <c r="AF1453">
        <v>5</v>
      </c>
      <c r="AG1453">
        <v>3</v>
      </c>
      <c r="AH1453">
        <v>0</v>
      </c>
      <c r="AI1453">
        <v>445.38</v>
      </c>
      <c r="AL1453" t="s">
        <v>6801</v>
      </c>
      <c r="AM1453">
        <v>95000</v>
      </c>
    </row>
    <row r="1454" spans="1:40">
      <c r="A1454" s="1">
        <f>HYPERLINK("https://lsnyc.legalserver.org/matter/dynamic-profile/view/1915861","19-1915861")</f>
        <v>0</v>
      </c>
      <c r="B1454" t="s">
        <v>91</v>
      </c>
      <c r="C1454" t="s">
        <v>220</v>
      </c>
      <c r="D1454" t="s">
        <v>220</v>
      </c>
      <c r="E1454" t="s">
        <v>460</v>
      </c>
      <c r="F1454" t="s">
        <v>2119</v>
      </c>
      <c r="G1454" t="s">
        <v>2612</v>
      </c>
      <c r="H1454" t="s">
        <v>3470</v>
      </c>
      <c r="I1454" t="s">
        <v>3495</v>
      </c>
      <c r="J1454">
        <v>10037</v>
      </c>
      <c r="K1454" t="s">
        <v>3522</v>
      </c>
      <c r="L1454" t="s">
        <v>3525</v>
      </c>
      <c r="N1454" t="s">
        <v>3554</v>
      </c>
      <c r="O1454" t="s">
        <v>4135</v>
      </c>
      <c r="P1454" t="s">
        <v>4142</v>
      </c>
      <c r="Q1454" t="s">
        <v>4147</v>
      </c>
      <c r="R1454" t="s">
        <v>3522</v>
      </c>
      <c r="T1454" t="s">
        <v>4156</v>
      </c>
      <c r="U1454" t="s">
        <v>4168</v>
      </c>
      <c r="V1454" t="s">
        <v>220</v>
      </c>
      <c r="W1454">
        <v>2300</v>
      </c>
      <c r="X1454" t="s">
        <v>4196</v>
      </c>
      <c r="Y1454" t="s">
        <v>4198</v>
      </c>
      <c r="Z1454" t="s">
        <v>5428</v>
      </c>
      <c r="AB1454" t="s">
        <v>6723</v>
      </c>
      <c r="AC1454">
        <v>259</v>
      </c>
      <c r="AD1454" t="s">
        <v>6772</v>
      </c>
      <c r="AE1454" t="s">
        <v>3526</v>
      </c>
      <c r="AF1454">
        <v>5</v>
      </c>
      <c r="AG1454">
        <v>3</v>
      </c>
      <c r="AH1454">
        <v>0</v>
      </c>
      <c r="AI1454">
        <v>445.38</v>
      </c>
      <c r="AL1454" t="s">
        <v>6801</v>
      </c>
      <c r="AM1454">
        <v>95000</v>
      </c>
    </row>
    <row r="1455" spans="1:40">
      <c r="A1455" s="1">
        <f>HYPERLINK("https://lsnyc.legalserver.org/matter/dynamic-profile/view/1916892","19-1916892")</f>
        <v>0</v>
      </c>
      <c r="B1455" t="s">
        <v>91</v>
      </c>
      <c r="C1455" t="s">
        <v>189</v>
      </c>
      <c r="D1455" t="s">
        <v>189</v>
      </c>
      <c r="E1455" t="s">
        <v>460</v>
      </c>
      <c r="F1455" t="s">
        <v>2119</v>
      </c>
      <c r="G1455" t="s">
        <v>2612</v>
      </c>
      <c r="H1455" t="s">
        <v>3470</v>
      </c>
      <c r="I1455" t="s">
        <v>3495</v>
      </c>
      <c r="J1455">
        <v>10037</v>
      </c>
      <c r="K1455" t="s">
        <v>3522</v>
      </c>
      <c r="L1455" t="s">
        <v>3525</v>
      </c>
      <c r="N1455" t="s">
        <v>3554</v>
      </c>
      <c r="O1455" t="s">
        <v>4132</v>
      </c>
      <c r="P1455" t="s">
        <v>4139</v>
      </c>
      <c r="Q1455" t="s">
        <v>4147</v>
      </c>
      <c r="R1455" t="s">
        <v>3522</v>
      </c>
      <c r="T1455" t="s">
        <v>4156</v>
      </c>
      <c r="U1455" t="s">
        <v>4168</v>
      </c>
      <c r="V1455" t="s">
        <v>189</v>
      </c>
      <c r="W1455">
        <v>2300</v>
      </c>
      <c r="X1455" t="s">
        <v>4196</v>
      </c>
      <c r="Y1455" t="s">
        <v>4201</v>
      </c>
      <c r="Z1455" t="s">
        <v>5428</v>
      </c>
      <c r="AB1455" t="s">
        <v>6723</v>
      </c>
      <c r="AC1455">
        <v>259</v>
      </c>
      <c r="AD1455" t="s">
        <v>6772</v>
      </c>
      <c r="AE1455" t="s">
        <v>3526</v>
      </c>
      <c r="AF1455">
        <v>5</v>
      </c>
      <c r="AG1455">
        <v>3</v>
      </c>
      <c r="AH1455">
        <v>0</v>
      </c>
      <c r="AI1455">
        <v>445.38</v>
      </c>
      <c r="AL1455" t="s">
        <v>6801</v>
      </c>
      <c r="AM1455">
        <v>95000</v>
      </c>
    </row>
    <row r="1456" spans="1:40">
      <c r="A1456" s="1">
        <f>HYPERLINK("https://lsnyc.legalserver.org/matter/dynamic-profile/view/1915221","19-1915221")</f>
        <v>0</v>
      </c>
      <c r="B1456" t="s">
        <v>45</v>
      </c>
      <c r="C1456" t="s">
        <v>204</v>
      </c>
      <c r="E1456" t="s">
        <v>687</v>
      </c>
      <c r="F1456" t="s">
        <v>1262</v>
      </c>
      <c r="G1456" t="s">
        <v>2165</v>
      </c>
      <c r="H1456" t="s">
        <v>3148</v>
      </c>
      <c r="I1456" t="s">
        <v>3479</v>
      </c>
      <c r="J1456">
        <v>11691</v>
      </c>
      <c r="K1456" t="s">
        <v>3522</v>
      </c>
      <c r="L1456" t="s">
        <v>3525</v>
      </c>
      <c r="N1456" t="s">
        <v>4109</v>
      </c>
      <c r="O1456" t="s">
        <v>4134</v>
      </c>
      <c r="Q1456" t="s">
        <v>4147</v>
      </c>
      <c r="R1456" t="s">
        <v>3523</v>
      </c>
      <c r="T1456" t="s">
        <v>4156</v>
      </c>
      <c r="V1456" t="s">
        <v>204</v>
      </c>
      <c r="W1456">
        <v>660</v>
      </c>
      <c r="X1456" t="s">
        <v>4192</v>
      </c>
      <c r="Y1456" t="s">
        <v>4198</v>
      </c>
      <c r="Z1456" t="s">
        <v>5429</v>
      </c>
      <c r="AB1456" t="s">
        <v>5482</v>
      </c>
      <c r="AC1456">
        <v>43</v>
      </c>
      <c r="AD1456" t="s">
        <v>6772</v>
      </c>
      <c r="AE1456" t="s">
        <v>3526</v>
      </c>
      <c r="AF1456">
        <v>10</v>
      </c>
      <c r="AG1456">
        <v>3</v>
      </c>
      <c r="AH1456">
        <v>0</v>
      </c>
      <c r="AI1456">
        <v>448.2</v>
      </c>
      <c r="AL1456" t="s">
        <v>6801</v>
      </c>
      <c r="AM1456">
        <v>95600</v>
      </c>
    </row>
    <row r="1457" spans="1:42">
      <c r="A1457" s="1">
        <f>HYPERLINK("https://lsnyc.legalserver.org/matter/dynamic-profile/view/1904774","19-1904774")</f>
        <v>0</v>
      </c>
      <c r="B1457" t="s">
        <v>78</v>
      </c>
      <c r="C1457" t="s">
        <v>296</v>
      </c>
      <c r="D1457" t="s">
        <v>327</v>
      </c>
      <c r="E1457" t="s">
        <v>1230</v>
      </c>
      <c r="F1457" t="s">
        <v>2120</v>
      </c>
      <c r="G1457" t="s">
        <v>2868</v>
      </c>
      <c r="H1457" t="s">
        <v>3173</v>
      </c>
      <c r="I1457" t="s">
        <v>3493</v>
      </c>
      <c r="J1457">
        <v>10456</v>
      </c>
      <c r="K1457" t="s">
        <v>3522</v>
      </c>
      <c r="L1457" t="s">
        <v>3525</v>
      </c>
      <c r="N1457" t="s">
        <v>3554</v>
      </c>
      <c r="O1457" t="s">
        <v>4135</v>
      </c>
      <c r="P1457" t="s">
        <v>4142</v>
      </c>
      <c r="Q1457" t="s">
        <v>4147</v>
      </c>
      <c r="R1457" t="s">
        <v>3523</v>
      </c>
      <c r="T1457" t="s">
        <v>4156</v>
      </c>
      <c r="V1457" t="s">
        <v>4175</v>
      </c>
      <c r="W1457">
        <v>982.92</v>
      </c>
      <c r="X1457" t="s">
        <v>4194</v>
      </c>
      <c r="Y1457" t="s">
        <v>4206</v>
      </c>
      <c r="Z1457" t="s">
        <v>5430</v>
      </c>
      <c r="AB1457" t="s">
        <v>6724</v>
      </c>
      <c r="AC1457">
        <v>56</v>
      </c>
      <c r="AD1457" t="s">
        <v>5524</v>
      </c>
      <c r="AE1457" t="s">
        <v>3526</v>
      </c>
      <c r="AF1457">
        <v>48</v>
      </c>
      <c r="AG1457">
        <v>2</v>
      </c>
      <c r="AH1457">
        <v>0</v>
      </c>
      <c r="AI1457">
        <v>454.17</v>
      </c>
      <c r="AM1457">
        <v>76800</v>
      </c>
    </row>
    <row r="1458" spans="1:42">
      <c r="A1458" s="1">
        <f>HYPERLINK("https://lsnyc.legalserver.org/matter/dynamic-profile/view/1905736","19-1905736")</f>
        <v>0</v>
      </c>
      <c r="B1458" t="s">
        <v>67</v>
      </c>
      <c r="C1458" t="s">
        <v>206</v>
      </c>
      <c r="E1458" t="s">
        <v>567</v>
      </c>
      <c r="F1458" t="s">
        <v>2121</v>
      </c>
      <c r="G1458" t="s">
        <v>3106</v>
      </c>
      <c r="H1458" t="s">
        <v>3151</v>
      </c>
      <c r="I1458" t="s">
        <v>3490</v>
      </c>
      <c r="J1458">
        <v>11233</v>
      </c>
      <c r="K1458" t="s">
        <v>3522</v>
      </c>
      <c r="L1458" t="s">
        <v>3525</v>
      </c>
      <c r="M1458" t="s">
        <v>4099</v>
      </c>
      <c r="N1458" t="s">
        <v>4108</v>
      </c>
      <c r="O1458" t="s">
        <v>4134</v>
      </c>
      <c r="Q1458" t="s">
        <v>4147</v>
      </c>
      <c r="R1458" t="s">
        <v>3522</v>
      </c>
      <c r="T1458" t="s">
        <v>4156</v>
      </c>
      <c r="U1458" t="s">
        <v>4168</v>
      </c>
      <c r="V1458" t="s">
        <v>241</v>
      </c>
      <c r="W1458">
        <v>1200</v>
      </c>
      <c r="X1458" t="s">
        <v>4193</v>
      </c>
      <c r="Y1458" t="s">
        <v>4201</v>
      </c>
      <c r="Z1458" t="s">
        <v>5431</v>
      </c>
      <c r="AA1458" t="s">
        <v>3562</v>
      </c>
      <c r="AB1458" t="s">
        <v>6725</v>
      </c>
      <c r="AC1458">
        <v>6</v>
      </c>
      <c r="AD1458" t="s">
        <v>6772</v>
      </c>
      <c r="AE1458" t="s">
        <v>3526</v>
      </c>
      <c r="AF1458">
        <v>6</v>
      </c>
      <c r="AG1458">
        <v>1</v>
      </c>
      <c r="AH1458">
        <v>0</v>
      </c>
      <c r="AI1458">
        <v>464.37</v>
      </c>
      <c r="AL1458" t="s">
        <v>6801</v>
      </c>
      <c r="AM1458">
        <v>58000</v>
      </c>
      <c r="AN1458" t="s">
        <v>6905</v>
      </c>
    </row>
    <row r="1459" spans="1:42">
      <c r="A1459" s="1">
        <f>HYPERLINK("https://lsnyc.legalserver.org/matter/dynamic-profile/view/1914999","19-1914999")</f>
        <v>0</v>
      </c>
      <c r="B1459" t="s">
        <v>104</v>
      </c>
      <c r="C1459" t="s">
        <v>253</v>
      </c>
      <c r="D1459" t="s">
        <v>299</v>
      </c>
      <c r="E1459" t="s">
        <v>1231</v>
      </c>
      <c r="F1459" t="s">
        <v>1602</v>
      </c>
      <c r="G1459" t="s">
        <v>3107</v>
      </c>
      <c r="H1459">
        <v>102</v>
      </c>
      <c r="I1459" t="s">
        <v>3493</v>
      </c>
      <c r="J1459">
        <v>10457</v>
      </c>
      <c r="K1459" t="s">
        <v>3522</v>
      </c>
      <c r="L1459" t="s">
        <v>3525</v>
      </c>
      <c r="O1459" t="s">
        <v>4135</v>
      </c>
      <c r="P1459" t="s">
        <v>4142</v>
      </c>
      <c r="Q1459" t="s">
        <v>4147</v>
      </c>
      <c r="R1459" t="s">
        <v>3523</v>
      </c>
      <c r="T1459" t="s">
        <v>4156</v>
      </c>
      <c r="V1459" t="s">
        <v>299</v>
      </c>
      <c r="W1459">
        <v>887</v>
      </c>
      <c r="X1459" t="s">
        <v>4194</v>
      </c>
      <c r="Y1459" t="s">
        <v>4206</v>
      </c>
      <c r="Z1459" t="s">
        <v>5432</v>
      </c>
      <c r="AB1459" t="s">
        <v>6726</v>
      </c>
      <c r="AC1459">
        <v>8</v>
      </c>
      <c r="AD1459" t="s">
        <v>6782</v>
      </c>
      <c r="AE1459" t="s">
        <v>3526</v>
      </c>
      <c r="AF1459">
        <v>7</v>
      </c>
      <c r="AG1459">
        <v>1</v>
      </c>
      <c r="AH1459">
        <v>0</v>
      </c>
      <c r="AI1459">
        <v>464.37</v>
      </c>
      <c r="AL1459" t="s">
        <v>6801</v>
      </c>
      <c r="AM1459">
        <v>58000</v>
      </c>
    </row>
    <row r="1460" spans="1:42">
      <c r="A1460" s="1">
        <f>HYPERLINK("https://lsnyc.legalserver.org/matter/dynamic-profile/view/1909497","19-1909497")</f>
        <v>0</v>
      </c>
      <c r="B1460" t="s">
        <v>93</v>
      </c>
      <c r="C1460" t="s">
        <v>184</v>
      </c>
      <c r="E1460" t="s">
        <v>1232</v>
      </c>
      <c r="F1460" t="s">
        <v>2122</v>
      </c>
      <c r="G1460" t="s">
        <v>2502</v>
      </c>
      <c r="H1460" t="s">
        <v>3154</v>
      </c>
      <c r="I1460" t="s">
        <v>3495</v>
      </c>
      <c r="J1460">
        <v>10040</v>
      </c>
      <c r="K1460" t="s">
        <v>3522</v>
      </c>
      <c r="L1460" t="s">
        <v>3525</v>
      </c>
      <c r="N1460" t="s">
        <v>4108</v>
      </c>
      <c r="O1460" t="s">
        <v>4134</v>
      </c>
      <c r="Q1460" t="s">
        <v>4147</v>
      </c>
      <c r="R1460" t="s">
        <v>3522</v>
      </c>
      <c r="T1460" t="s">
        <v>4156</v>
      </c>
      <c r="V1460" t="s">
        <v>184</v>
      </c>
      <c r="W1460">
        <v>1234.7</v>
      </c>
      <c r="X1460" t="s">
        <v>4196</v>
      </c>
      <c r="Y1460" t="s">
        <v>4205</v>
      </c>
      <c r="Z1460" t="s">
        <v>5433</v>
      </c>
      <c r="AC1460">
        <v>77</v>
      </c>
      <c r="AD1460" t="s">
        <v>6772</v>
      </c>
      <c r="AE1460" t="s">
        <v>3526</v>
      </c>
      <c r="AF1460">
        <v>4</v>
      </c>
      <c r="AG1460">
        <v>1</v>
      </c>
      <c r="AH1460">
        <v>0</v>
      </c>
      <c r="AI1460">
        <v>464.37</v>
      </c>
      <c r="AL1460" t="s">
        <v>6801</v>
      </c>
      <c r="AM1460">
        <v>58000</v>
      </c>
    </row>
    <row r="1461" spans="1:42">
      <c r="A1461" s="1">
        <f>HYPERLINK("https://lsnyc.legalserver.org/matter/dynamic-profile/view/1904379","19-1904379")</f>
        <v>0</v>
      </c>
      <c r="B1461" t="s">
        <v>91</v>
      </c>
      <c r="C1461" t="s">
        <v>293</v>
      </c>
      <c r="E1461" t="s">
        <v>409</v>
      </c>
      <c r="F1461" t="s">
        <v>2123</v>
      </c>
      <c r="G1461" t="s">
        <v>2908</v>
      </c>
      <c r="H1461" t="s">
        <v>3221</v>
      </c>
      <c r="I1461" t="s">
        <v>3495</v>
      </c>
      <c r="J1461">
        <v>10024</v>
      </c>
      <c r="K1461" t="s">
        <v>3522</v>
      </c>
      <c r="L1461" t="s">
        <v>3525</v>
      </c>
      <c r="N1461" t="s">
        <v>4108</v>
      </c>
      <c r="O1461" t="s">
        <v>4134</v>
      </c>
      <c r="Q1461" t="s">
        <v>4147</v>
      </c>
      <c r="R1461" t="s">
        <v>3522</v>
      </c>
      <c r="T1461" t="s">
        <v>4156</v>
      </c>
      <c r="U1461" t="s">
        <v>4168</v>
      </c>
      <c r="V1461" t="s">
        <v>179</v>
      </c>
      <c r="W1461">
        <v>2300</v>
      </c>
      <c r="X1461" t="s">
        <v>4196</v>
      </c>
      <c r="Y1461" t="s">
        <v>4207</v>
      </c>
      <c r="Z1461" t="s">
        <v>5434</v>
      </c>
      <c r="AB1461" t="s">
        <v>6727</v>
      </c>
      <c r="AC1461">
        <v>29</v>
      </c>
      <c r="AD1461" t="s">
        <v>6776</v>
      </c>
      <c r="AE1461" t="s">
        <v>3526</v>
      </c>
      <c r="AF1461">
        <v>7</v>
      </c>
      <c r="AG1461">
        <v>1</v>
      </c>
      <c r="AH1461">
        <v>0</v>
      </c>
      <c r="AI1461">
        <v>468.37</v>
      </c>
      <c r="AL1461" t="s">
        <v>6801</v>
      </c>
      <c r="AM1461">
        <v>58500</v>
      </c>
    </row>
    <row r="1462" spans="1:42">
      <c r="A1462" s="1">
        <f>HYPERLINK("https://lsnyc.legalserver.org/matter/dynamic-profile/view/1899643","19-1899643")</f>
        <v>0</v>
      </c>
      <c r="B1462" t="s">
        <v>59</v>
      </c>
      <c r="C1462" t="s">
        <v>367</v>
      </c>
      <c r="E1462" t="s">
        <v>1006</v>
      </c>
      <c r="F1462" t="s">
        <v>2124</v>
      </c>
      <c r="G1462" t="s">
        <v>2755</v>
      </c>
      <c r="H1462" t="s">
        <v>3219</v>
      </c>
      <c r="I1462" t="s">
        <v>3490</v>
      </c>
      <c r="J1462">
        <v>11212</v>
      </c>
      <c r="K1462" t="s">
        <v>3522</v>
      </c>
      <c r="L1462" t="s">
        <v>3525</v>
      </c>
      <c r="M1462" t="s">
        <v>4100</v>
      </c>
      <c r="N1462" t="s">
        <v>4109</v>
      </c>
      <c r="O1462" t="s">
        <v>4134</v>
      </c>
      <c r="Q1462" t="s">
        <v>4147</v>
      </c>
      <c r="R1462" t="s">
        <v>3523</v>
      </c>
      <c r="T1462" t="s">
        <v>4156</v>
      </c>
      <c r="U1462" t="s">
        <v>4168</v>
      </c>
      <c r="V1462" t="s">
        <v>177</v>
      </c>
      <c r="W1462">
        <v>966</v>
      </c>
      <c r="X1462" t="s">
        <v>4193</v>
      </c>
      <c r="Y1462" t="s">
        <v>4201</v>
      </c>
      <c r="Z1462" t="s">
        <v>5253</v>
      </c>
      <c r="AB1462" t="s">
        <v>6728</v>
      </c>
      <c r="AC1462">
        <v>16</v>
      </c>
      <c r="AD1462" t="s">
        <v>6772</v>
      </c>
      <c r="AE1462" t="s">
        <v>3526</v>
      </c>
      <c r="AF1462">
        <v>16</v>
      </c>
      <c r="AG1462">
        <v>3</v>
      </c>
      <c r="AH1462">
        <v>0</v>
      </c>
      <c r="AI1462">
        <v>468.82</v>
      </c>
      <c r="AL1462" t="s">
        <v>6801</v>
      </c>
      <c r="AM1462">
        <v>100000</v>
      </c>
    </row>
    <row r="1463" spans="1:42">
      <c r="A1463" s="1">
        <f>HYPERLINK("https://lsnyc.legalserver.org/matter/dynamic-profile/view/1906527","19-1906527")</f>
        <v>0</v>
      </c>
      <c r="B1463" t="s">
        <v>64</v>
      </c>
      <c r="C1463" t="s">
        <v>320</v>
      </c>
      <c r="E1463" t="s">
        <v>605</v>
      </c>
      <c r="F1463" t="s">
        <v>2125</v>
      </c>
      <c r="G1463" t="s">
        <v>2362</v>
      </c>
      <c r="H1463" t="s">
        <v>3141</v>
      </c>
      <c r="I1463" t="s">
        <v>3490</v>
      </c>
      <c r="J1463">
        <v>11225</v>
      </c>
      <c r="K1463" t="s">
        <v>3522</v>
      </c>
      <c r="L1463" t="s">
        <v>3525</v>
      </c>
      <c r="N1463" t="s">
        <v>4115</v>
      </c>
      <c r="O1463" t="s">
        <v>4134</v>
      </c>
      <c r="Q1463" t="s">
        <v>4147</v>
      </c>
      <c r="R1463" t="s">
        <v>3522</v>
      </c>
      <c r="S1463" t="s">
        <v>4149</v>
      </c>
      <c r="T1463" t="s">
        <v>4156</v>
      </c>
      <c r="V1463" t="s">
        <v>285</v>
      </c>
      <c r="W1463">
        <v>1639.25</v>
      </c>
      <c r="X1463" t="s">
        <v>4193</v>
      </c>
      <c r="Z1463" t="s">
        <v>5435</v>
      </c>
      <c r="AB1463" t="s">
        <v>6729</v>
      </c>
      <c r="AC1463">
        <v>11</v>
      </c>
      <c r="AF1463">
        <v>7</v>
      </c>
      <c r="AG1463">
        <v>2</v>
      </c>
      <c r="AH1463">
        <v>0</v>
      </c>
      <c r="AI1463">
        <v>473.09</v>
      </c>
      <c r="AL1463" t="s">
        <v>6801</v>
      </c>
      <c r="AM1463">
        <v>80000</v>
      </c>
    </row>
    <row r="1464" spans="1:42">
      <c r="A1464" s="1">
        <f>HYPERLINK("https://lsnyc.legalserver.org/matter/dynamic-profile/view/1906550","19-1906550")</f>
        <v>0</v>
      </c>
      <c r="B1464" t="s">
        <v>64</v>
      </c>
      <c r="C1464" t="s">
        <v>250</v>
      </c>
      <c r="E1464" t="s">
        <v>605</v>
      </c>
      <c r="F1464" t="s">
        <v>2125</v>
      </c>
      <c r="G1464" t="s">
        <v>2362</v>
      </c>
      <c r="H1464" t="s">
        <v>3141</v>
      </c>
      <c r="I1464" t="s">
        <v>3490</v>
      </c>
      <c r="J1464">
        <v>11225</v>
      </c>
      <c r="K1464" t="s">
        <v>3522</v>
      </c>
      <c r="L1464" t="s">
        <v>3525</v>
      </c>
      <c r="N1464" t="s">
        <v>4110</v>
      </c>
      <c r="O1464" t="s">
        <v>4137</v>
      </c>
      <c r="Q1464" t="s">
        <v>4147</v>
      </c>
      <c r="R1464" t="s">
        <v>3522</v>
      </c>
      <c r="S1464" t="s">
        <v>4149</v>
      </c>
      <c r="T1464" t="s">
        <v>4156</v>
      </c>
      <c r="V1464" t="s">
        <v>250</v>
      </c>
      <c r="W1464">
        <v>1639.26</v>
      </c>
      <c r="X1464" t="s">
        <v>4193</v>
      </c>
      <c r="Z1464" t="s">
        <v>5435</v>
      </c>
      <c r="AB1464" t="s">
        <v>6729</v>
      </c>
      <c r="AC1464">
        <v>11</v>
      </c>
      <c r="AD1464" t="s">
        <v>6772</v>
      </c>
      <c r="AF1464">
        <v>7</v>
      </c>
      <c r="AG1464">
        <v>2</v>
      </c>
      <c r="AH1464">
        <v>0</v>
      </c>
      <c r="AI1464">
        <v>473.09</v>
      </c>
      <c r="AL1464" t="s">
        <v>6801</v>
      </c>
      <c r="AM1464">
        <v>80000</v>
      </c>
    </row>
    <row r="1465" spans="1:42">
      <c r="A1465" s="1">
        <f>HYPERLINK("https://lsnyc.legalserver.org/matter/dynamic-profile/view/1906678","19-1906678")</f>
        <v>0</v>
      </c>
      <c r="B1465" t="s">
        <v>64</v>
      </c>
      <c r="C1465" t="s">
        <v>250</v>
      </c>
      <c r="E1465" t="s">
        <v>605</v>
      </c>
      <c r="F1465" t="s">
        <v>2125</v>
      </c>
      <c r="G1465" t="s">
        <v>2362</v>
      </c>
      <c r="H1465" t="s">
        <v>3141</v>
      </c>
      <c r="I1465" t="s">
        <v>3490</v>
      </c>
      <c r="J1465">
        <v>11225</v>
      </c>
      <c r="K1465" t="s">
        <v>3522</v>
      </c>
      <c r="L1465" t="s">
        <v>3525</v>
      </c>
      <c r="O1465" t="s">
        <v>4137</v>
      </c>
      <c r="Q1465" t="s">
        <v>4147</v>
      </c>
      <c r="R1465" t="s">
        <v>3522</v>
      </c>
      <c r="S1465" t="s">
        <v>4149</v>
      </c>
      <c r="T1465" t="s">
        <v>4156</v>
      </c>
      <c r="V1465" t="s">
        <v>220</v>
      </c>
      <c r="W1465">
        <v>1639.25</v>
      </c>
      <c r="X1465" t="s">
        <v>4193</v>
      </c>
      <c r="Z1465" t="s">
        <v>5435</v>
      </c>
      <c r="AB1465" t="s">
        <v>6729</v>
      </c>
      <c r="AC1465">
        <v>11</v>
      </c>
      <c r="AD1465" t="s">
        <v>6772</v>
      </c>
      <c r="AF1465">
        <v>7</v>
      </c>
      <c r="AG1465">
        <v>2</v>
      </c>
      <c r="AH1465">
        <v>0</v>
      </c>
      <c r="AI1465">
        <v>473.09</v>
      </c>
      <c r="AL1465" t="s">
        <v>6801</v>
      </c>
      <c r="AM1465">
        <v>80000</v>
      </c>
    </row>
    <row r="1466" spans="1:42">
      <c r="A1466" s="1">
        <f>HYPERLINK("https://lsnyc.legalserver.org/matter/dynamic-profile/view/1911025","19-1911025")</f>
        <v>0</v>
      </c>
      <c r="B1466" t="s">
        <v>64</v>
      </c>
      <c r="C1466" t="s">
        <v>270</v>
      </c>
      <c r="E1466" t="s">
        <v>877</v>
      </c>
      <c r="F1466" t="s">
        <v>2126</v>
      </c>
      <c r="G1466" t="s">
        <v>3108</v>
      </c>
      <c r="H1466" t="s">
        <v>3220</v>
      </c>
      <c r="I1466" t="s">
        <v>3490</v>
      </c>
      <c r="J1466">
        <v>11225</v>
      </c>
      <c r="K1466" t="s">
        <v>3522</v>
      </c>
      <c r="L1466" t="s">
        <v>3525</v>
      </c>
      <c r="O1466" t="s">
        <v>4137</v>
      </c>
      <c r="Q1466" t="s">
        <v>4147</v>
      </c>
      <c r="R1466" t="s">
        <v>3522</v>
      </c>
      <c r="T1466" t="s">
        <v>4156</v>
      </c>
      <c r="V1466" t="s">
        <v>198</v>
      </c>
      <c r="W1466">
        <v>0</v>
      </c>
      <c r="X1466" t="s">
        <v>4193</v>
      </c>
      <c r="Z1466" t="s">
        <v>5436</v>
      </c>
      <c r="AB1466" t="s">
        <v>5482</v>
      </c>
      <c r="AC1466">
        <v>14</v>
      </c>
      <c r="AF1466">
        <v>0</v>
      </c>
      <c r="AG1466">
        <v>2</v>
      </c>
      <c r="AH1466">
        <v>0</v>
      </c>
      <c r="AI1466">
        <v>480.19</v>
      </c>
      <c r="AL1466" t="s">
        <v>6801</v>
      </c>
      <c r="AM1466">
        <v>81200</v>
      </c>
    </row>
    <row r="1467" spans="1:42">
      <c r="A1467" s="1">
        <f>HYPERLINK("https://lsnyc.legalserver.org/matter/dynamic-profile/view/1908363","19-1908363")</f>
        <v>0</v>
      </c>
      <c r="B1467" t="s">
        <v>47</v>
      </c>
      <c r="C1467" t="s">
        <v>303</v>
      </c>
      <c r="E1467" t="s">
        <v>1233</v>
      </c>
      <c r="F1467" t="s">
        <v>2127</v>
      </c>
      <c r="G1467" t="s">
        <v>2614</v>
      </c>
      <c r="H1467" t="s">
        <v>3149</v>
      </c>
      <c r="I1467" t="s">
        <v>3486</v>
      </c>
      <c r="J1467">
        <v>11377</v>
      </c>
      <c r="K1467" t="s">
        <v>3522</v>
      </c>
      <c r="L1467" t="s">
        <v>3525</v>
      </c>
      <c r="M1467" t="s">
        <v>3792</v>
      </c>
      <c r="N1467" t="s">
        <v>4110</v>
      </c>
      <c r="O1467" t="s">
        <v>4137</v>
      </c>
      <c r="Q1467" t="s">
        <v>4147</v>
      </c>
      <c r="R1467" t="s">
        <v>3522</v>
      </c>
      <c r="T1467" t="s">
        <v>4156</v>
      </c>
      <c r="U1467" t="s">
        <v>4168</v>
      </c>
      <c r="V1467" t="s">
        <v>303</v>
      </c>
      <c r="W1467">
        <v>1854</v>
      </c>
      <c r="X1467" t="s">
        <v>4192</v>
      </c>
      <c r="Y1467" t="s">
        <v>4206</v>
      </c>
      <c r="Z1467" t="s">
        <v>5437</v>
      </c>
      <c r="AB1467" t="s">
        <v>6730</v>
      </c>
      <c r="AC1467">
        <v>67</v>
      </c>
      <c r="AD1467" t="s">
        <v>6772</v>
      </c>
      <c r="AE1467" t="s">
        <v>3526</v>
      </c>
      <c r="AF1467">
        <v>26</v>
      </c>
      <c r="AG1467">
        <v>1</v>
      </c>
      <c r="AH1467">
        <v>0</v>
      </c>
      <c r="AI1467">
        <v>480.38</v>
      </c>
      <c r="AL1467" t="s">
        <v>6802</v>
      </c>
      <c r="AM1467">
        <v>60000</v>
      </c>
      <c r="AP1467" t="s">
        <v>4200</v>
      </c>
    </row>
    <row r="1468" spans="1:42">
      <c r="A1468" s="1">
        <f>HYPERLINK("https://lsnyc.legalserver.org/matter/dynamic-profile/view/1908367","19-1908367")</f>
        <v>0</v>
      </c>
      <c r="B1468" t="s">
        <v>47</v>
      </c>
      <c r="C1468" t="s">
        <v>303</v>
      </c>
      <c r="E1468" t="s">
        <v>1233</v>
      </c>
      <c r="F1468" t="s">
        <v>2127</v>
      </c>
      <c r="G1468" t="s">
        <v>2614</v>
      </c>
      <c r="H1468" t="s">
        <v>3149</v>
      </c>
      <c r="I1468" t="s">
        <v>3486</v>
      </c>
      <c r="J1468">
        <v>11377</v>
      </c>
      <c r="K1468" t="s">
        <v>3522</v>
      </c>
      <c r="L1468" t="s">
        <v>3525</v>
      </c>
      <c r="M1468" t="s">
        <v>3793</v>
      </c>
      <c r="N1468" t="s">
        <v>4110</v>
      </c>
      <c r="O1468" t="s">
        <v>4137</v>
      </c>
      <c r="Q1468" t="s">
        <v>4147</v>
      </c>
      <c r="R1468" t="s">
        <v>3522</v>
      </c>
      <c r="T1468" t="s">
        <v>4156</v>
      </c>
      <c r="V1468" t="s">
        <v>4183</v>
      </c>
      <c r="W1468">
        <v>1854</v>
      </c>
      <c r="X1468" t="s">
        <v>4192</v>
      </c>
      <c r="Y1468" t="s">
        <v>4206</v>
      </c>
      <c r="Z1468" t="s">
        <v>5437</v>
      </c>
      <c r="AB1468" t="s">
        <v>6730</v>
      </c>
      <c r="AC1468">
        <v>67</v>
      </c>
      <c r="AD1468" t="s">
        <v>6772</v>
      </c>
      <c r="AE1468" t="s">
        <v>3526</v>
      </c>
      <c r="AF1468">
        <v>26</v>
      </c>
      <c r="AG1468">
        <v>1</v>
      </c>
      <c r="AH1468">
        <v>0</v>
      </c>
      <c r="AI1468">
        <v>480.38</v>
      </c>
      <c r="AL1468" t="s">
        <v>6802</v>
      </c>
      <c r="AM1468">
        <v>60000</v>
      </c>
    </row>
    <row r="1469" spans="1:42">
      <c r="A1469" s="1">
        <f>HYPERLINK("https://lsnyc.legalserver.org/matter/dynamic-profile/view/1905412","19-1905412")</f>
        <v>0</v>
      </c>
      <c r="B1469" t="s">
        <v>83</v>
      </c>
      <c r="C1469" t="s">
        <v>266</v>
      </c>
      <c r="D1469" t="s">
        <v>206</v>
      </c>
      <c r="E1469" t="s">
        <v>1234</v>
      </c>
      <c r="F1469" t="s">
        <v>1436</v>
      </c>
      <c r="G1469" t="s">
        <v>3054</v>
      </c>
      <c r="H1469" t="s">
        <v>3343</v>
      </c>
      <c r="I1469" t="s">
        <v>3493</v>
      </c>
      <c r="J1469">
        <v>10457</v>
      </c>
      <c r="K1469" t="s">
        <v>3522</v>
      </c>
      <c r="L1469" t="s">
        <v>3525</v>
      </c>
      <c r="M1469" t="s">
        <v>3562</v>
      </c>
      <c r="N1469" t="s">
        <v>4110</v>
      </c>
      <c r="O1469" t="s">
        <v>4132</v>
      </c>
      <c r="P1469" t="s">
        <v>4139</v>
      </c>
      <c r="Q1469" t="s">
        <v>4147</v>
      </c>
      <c r="R1469" t="s">
        <v>3523</v>
      </c>
      <c r="T1469" t="s">
        <v>4156</v>
      </c>
      <c r="V1469" t="s">
        <v>4175</v>
      </c>
      <c r="W1469">
        <v>885.9299999999999</v>
      </c>
      <c r="X1469" t="s">
        <v>4194</v>
      </c>
      <c r="Y1469" t="s">
        <v>4206</v>
      </c>
      <c r="Z1469" t="s">
        <v>5438</v>
      </c>
      <c r="AC1469">
        <v>73</v>
      </c>
      <c r="AD1469" t="s">
        <v>6772</v>
      </c>
      <c r="AE1469" t="s">
        <v>3526</v>
      </c>
      <c r="AF1469">
        <v>43</v>
      </c>
      <c r="AG1469">
        <v>1</v>
      </c>
      <c r="AH1469">
        <v>0</v>
      </c>
      <c r="AI1469">
        <v>480.38</v>
      </c>
      <c r="AL1469" t="s">
        <v>6801</v>
      </c>
      <c r="AM1469">
        <v>60000</v>
      </c>
    </row>
    <row r="1470" spans="1:42">
      <c r="A1470" s="1">
        <f>HYPERLINK("https://lsnyc.legalserver.org/matter/dynamic-profile/view/1916915","19-1916915")</f>
        <v>0</v>
      </c>
      <c r="B1470" t="s">
        <v>115</v>
      </c>
      <c r="C1470" t="s">
        <v>189</v>
      </c>
      <c r="E1470" t="s">
        <v>1235</v>
      </c>
      <c r="F1470" t="s">
        <v>2128</v>
      </c>
      <c r="G1470" t="s">
        <v>3109</v>
      </c>
      <c r="H1470" t="s">
        <v>3154</v>
      </c>
      <c r="I1470" t="s">
        <v>3495</v>
      </c>
      <c r="J1470">
        <v>10033</v>
      </c>
      <c r="K1470" t="s">
        <v>3522</v>
      </c>
      <c r="L1470" t="s">
        <v>3525</v>
      </c>
      <c r="O1470" t="s">
        <v>4136</v>
      </c>
      <c r="Q1470" t="s">
        <v>4147</v>
      </c>
      <c r="R1470" t="s">
        <v>3523</v>
      </c>
      <c r="T1470" t="s">
        <v>4156</v>
      </c>
      <c r="V1470" t="s">
        <v>189</v>
      </c>
      <c r="W1470">
        <v>2325</v>
      </c>
      <c r="X1470" t="s">
        <v>4196</v>
      </c>
      <c r="Y1470" t="s">
        <v>4198</v>
      </c>
      <c r="Z1470" t="s">
        <v>5439</v>
      </c>
      <c r="AB1470" t="s">
        <v>6731</v>
      </c>
      <c r="AC1470">
        <v>41</v>
      </c>
      <c r="AD1470" t="s">
        <v>6772</v>
      </c>
      <c r="AE1470" t="s">
        <v>3526</v>
      </c>
      <c r="AF1470">
        <v>3</v>
      </c>
      <c r="AG1470">
        <v>1</v>
      </c>
      <c r="AH1470">
        <v>0</v>
      </c>
      <c r="AI1470">
        <v>480.38</v>
      </c>
      <c r="AL1470" t="s">
        <v>6801</v>
      </c>
      <c r="AM1470">
        <v>60000</v>
      </c>
    </row>
    <row r="1471" spans="1:42">
      <c r="A1471" s="1">
        <f>HYPERLINK("https://lsnyc.legalserver.org/matter/dynamic-profile/view/1906208","19-1906208")</f>
        <v>0</v>
      </c>
      <c r="B1471" t="s">
        <v>92</v>
      </c>
      <c r="C1471" t="s">
        <v>188</v>
      </c>
      <c r="D1471" t="s">
        <v>220</v>
      </c>
      <c r="E1471" t="s">
        <v>482</v>
      </c>
      <c r="F1471" t="s">
        <v>2129</v>
      </c>
      <c r="G1471" t="s">
        <v>3110</v>
      </c>
      <c r="H1471" t="s">
        <v>3471</v>
      </c>
      <c r="I1471" t="s">
        <v>3495</v>
      </c>
      <c r="J1471">
        <v>10024</v>
      </c>
      <c r="K1471" t="s">
        <v>3522</v>
      </c>
      <c r="L1471" t="s">
        <v>3525</v>
      </c>
      <c r="O1471" t="s">
        <v>4135</v>
      </c>
      <c r="P1471" t="s">
        <v>4142</v>
      </c>
      <c r="Q1471" t="s">
        <v>4147</v>
      </c>
      <c r="R1471" t="s">
        <v>3523</v>
      </c>
      <c r="S1471" t="s">
        <v>4155</v>
      </c>
      <c r="T1471" t="s">
        <v>4156</v>
      </c>
      <c r="V1471" t="s">
        <v>188</v>
      </c>
      <c r="W1471">
        <v>3039.5</v>
      </c>
      <c r="X1471" t="s">
        <v>4196</v>
      </c>
      <c r="Y1471" t="s">
        <v>4205</v>
      </c>
      <c r="Z1471" t="s">
        <v>5440</v>
      </c>
      <c r="AB1471" t="s">
        <v>6732</v>
      </c>
      <c r="AC1471">
        <v>249</v>
      </c>
      <c r="AD1471" t="s">
        <v>6772</v>
      </c>
      <c r="AE1471" t="s">
        <v>3526</v>
      </c>
      <c r="AF1471">
        <v>20</v>
      </c>
      <c r="AG1471">
        <v>3</v>
      </c>
      <c r="AH1471">
        <v>0</v>
      </c>
      <c r="AI1471">
        <v>482.89</v>
      </c>
      <c r="AL1471" t="s">
        <v>6801</v>
      </c>
      <c r="AM1471">
        <v>103000</v>
      </c>
    </row>
    <row r="1472" spans="1:42">
      <c r="A1472" s="1">
        <f>HYPERLINK("https://lsnyc.legalserver.org/matter/dynamic-profile/view/1865239","18-1865239")</f>
        <v>0</v>
      </c>
      <c r="B1472" t="s">
        <v>176</v>
      </c>
      <c r="C1472" t="s">
        <v>378</v>
      </c>
      <c r="D1472" t="s">
        <v>228</v>
      </c>
      <c r="E1472" t="s">
        <v>1236</v>
      </c>
      <c r="F1472" t="s">
        <v>2130</v>
      </c>
      <c r="G1472" t="s">
        <v>3111</v>
      </c>
      <c r="H1472" t="s">
        <v>3158</v>
      </c>
      <c r="I1472" t="s">
        <v>3499</v>
      </c>
      <c r="J1472">
        <v>11427</v>
      </c>
      <c r="K1472" t="s">
        <v>3522</v>
      </c>
      <c r="L1472" t="s">
        <v>3525</v>
      </c>
      <c r="M1472" t="s">
        <v>4101</v>
      </c>
      <c r="N1472" t="s">
        <v>4109</v>
      </c>
      <c r="O1472" t="s">
        <v>4132</v>
      </c>
      <c r="P1472" t="s">
        <v>4139</v>
      </c>
      <c r="Q1472" t="s">
        <v>4147</v>
      </c>
      <c r="R1472" t="s">
        <v>3523</v>
      </c>
      <c r="T1472" t="s">
        <v>4156</v>
      </c>
      <c r="U1472" t="s">
        <v>4168</v>
      </c>
      <c r="V1472" t="s">
        <v>228</v>
      </c>
      <c r="W1472">
        <v>1044</v>
      </c>
      <c r="X1472" t="s">
        <v>4192</v>
      </c>
      <c r="Y1472" t="s">
        <v>4200</v>
      </c>
      <c r="Z1472" t="s">
        <v>5441</v>
      </c>
      <c r="AB1472" t="s">
        <v>6733</v>
      </c>
      <c r="AC1472">
        <v>21</v>
      </c>
      <c r="AD1472" t="s">
        <v>6772</v>
      </c>
      <c r="AE1472" t="s">
        <v>4200</v>
      </c>
      <c r="AF1472">
        <v>40</v>
      </c>
      <c r="AG1472">
        <v>2</v>
      </c>
      <c r="AH1472">
        <v>0</v>
      </c>
      <c r="AI1472">
        <v>482.93</v>
      </c>
      <c r="AL1472" t="s">
        <v>6801</v>
      </c>
      <c r="AM1472">
        <v>79490.05</v>
      </c>
    </row>
    <row r="1473" spans="1:40">
      <c r="A1473" s="1">
        <f>HYPERLINK("https://lsnyc.legalserver.org/matter/dynamic-profile/view/1896149","19-1896149")</f>
        <v>0</v>
      </c>
      <c r="B1473" t="s">
        <v>51</v>
      </c>
      <c r="C1473" t="s">
        <v>379</v>
      </c>
      <c r="E1473" t="s">
        <v>1237</v>
      </c>
      <c r="F1473" t="s">
        <v>2131</v>
      </c>
      <c r="G1473" t="s">
        <v>2752</v>
      </c>
      <c r="H1473">
        <v>3</v>
      </c>
      <c r="I1473" t="s">
        <v>3490</v>
      </c>
      <c r="J1473">
        <v>11208</v>
      </c>
      <c r="K1473" t="s">
        <v>3522</v>
      </c>
      <c r="L1473" t="s">
        <v>3525</v>
      </c>
      <c r="M1473" t="s">
        <v>4102</v>
      </c>
      <c r="N1473" t="s">
        <v>4107</v>
      </c>
      <c r="O1473" t="s">
        <v>4134</v>
      </c>
      <c r="Q1473" t="s">
        <v>4147</v>
      </c>
      <c r="R1473" t="s">
        <v>3522</v>
      </c>
      <c r="T1473" t="s">
        <v>4156</v>
      </c>
      <c r="V1473" t="s">
        <v>241</v>
      </c>
      <c r="W1473">
        <v>1300</v>
      </c>
      <c r="X1473" t="s">
        <v>4193</v>
      </c>
      <c r="Z1473" t="s">
        <v>5442</v>
      </c>
      <c r="AB1473" t="s">
        <v>6734</v>
      </c>
      <c r="AC1473">
        <v>4</v>
      </c>
      <c r="AF1473">
        <v>9</v>
      </c>
      <c r="AG1473">
        <v>2</v>
      </c>
      <c r="AH1473">
        <v>0</v>
      </c>
      <c r="AI1473">
        <v>484.92</v>
      </c>
      <c r="AL1473" t="s">
        <v>6801</v>
      </c>
      <c r="AM1473">
        <v>82000</v>
      </c>
      <c r="AN1473" t="s">
        <v>6906</v>
      </c>
    </row>
    <row r="1474" spans="1:40">
      <c r="A1474" s="1">
        <f>HYPERLINK("https://lsnyc.legalserver.org/matter/dynamic-profile/view/1906404","19-1906404")</f>
        <v>0</v>
      </c>
      <c r="B1474" t="s">
        <v>93</v>
      </c>
      <c r="C1474" t="s">
        <v>241</v>
      </c>
      <c r="E1474" t="s">
        <v>1238</v>
      </c>
      <c r="F1474" t="s">
        <v>2132</v>
      </c>
      <c r="G1474" t="s">
        <v>2849</v>
      </c>
      <c r="H1474">
        <v>5</v>
      </c>
      <c r="I1474" t="s">
        <v>3495</v>
      </c>
      <c r="J1474">
        <v>10032</v>
      </c>
      <c r="K1474" t="s">
        <v>3522</v>
      </c>
      <c r="L1474" t="s">
        <v>3525</v>
      </c>
      <c r="N1474" t="s">
        <v>4108</v>
      </c>
      <c r="O1474" t="s">
        <v>4133</v>
      </c>
      <c r="Q1474" t="s">
        <v>4147</v>
      </c>
      <c r="R1474" t="s">
        <v>3522</v>
      </c>
      <c r="T1474" t="s">
        <v>4156</v>
      </c>
      <c r="V1474" t="s">
        <v>241</v>
      </c>
      <c r="W1474">
        <v>2250</v>
      </c>
      <c r="X1474" t="s">
        <v>4196</v>
      </c>
      <c r="Y1474" t="s">
        <v>4205</v>
      </c>
      <c r="Z1474" t="s">
        <v>5443</v>
      </c>
      <c r="AB1474" t="s">
        <v>6735</v>
      </c>
      <c r="AC1474">
        <v>46</v>
      </c>
      <c r="AD1474" t="s">
        <v>6772</v>
      </c>
      <c r="AE1474" t="s">
        <v>3526</v>
      </c>
      <c r="AF1474">
        <v>6</v>
      </c>
      <c r="AG1474">
        <v>1</v>
      </c>
      <c r="AH1474">
        <v>0</v>
      </c>
      <c r="AI1474">
        <v>490.39</v>
      </c>
      <c r="AL1474" t="s">
        <v>6801</v>
      </c>
      <c r="AM1474">
        <v>61250</v>
      </c>
    </row>
    <row r="1475" spans="1:40">
      <c r="A1475" s="1">
        <f>HYPERLINK("https://lsnyc.legalserver.org/matter/dynamic-profile/view/1916208","19-1916208")</f>
        <v>0</v>
      </c>
      <c r="B1475" t="s">
        <v>86</v>
      </c>
      <c r="C1475" t="s">
        <v>208</v>
      </c>
      <c r="E1475" t="s">
        <v>1019</v>
      </c>
      <c r="F1475" t="s">
        <v>1883</v>
      </c>
      <c r="G1475" t="s">
        <v>2746</v>
      </c>
      <c r="H1475" t="s">
        <v>3300</v>
      </c>
      <c r="I1475" t="s">
        <v>3495</v>
      </c>
      <c r="J1475">
        <v>10034</v>
      </c>
      <c r="K1475" t="s">
        <v>3522</v>
      </c>
      <c r="L1475" t="s">
        <v>3525</v>
      </c>
      <c r="O1475" t="s">
        <v>4136</v>
      </c>
      <c r="Q1475" t="s">
        <v>4147</v>
      </c>
      <c r="R1475" t="s">
        <v>3523</v>
      </c>
      <c r="T1475" t="s">
        <v>4156</v>
      </c>
      <c r="V1475" t="s">
        <v>208</v>
      </c>
      <c r="W1475">
        <v>2150</v>
      </c>
      <c r="X1475" t="s">
        <v>4196</v>
      </c>
      <c r="Y1475" t="s">
        <v>4198</v>
      </c>
      <c r="Z1475" t="s">
        <v>5444</v>
      </c>
      <c r="AB1475" t="s">
        <v>6736</v>
      </c>
      <c r="AC1475">
        <v>94</v>
      </c>
      <c r="AD1475" t="s">
        <v>6771</v>
      </c>
      <c r="AE1475" t="s">
        <v>3526</v>
      </c>
      <c r="AF1475">
        <v>3</v>
      </c>
      <c r="AG1475">
        <v>2</v>
      </c>
      <c r="AH1475">
        <v>1</v>
      </c>
      <c r="AI1475">
        <v>496.95</v>
      </c>
      <c r="AL1475" t="s">
        <v>6801</v>
      </c>
      <c r="AM1475">
        <v>106000</v>
      </c>
    </row>
    <row r="1476" spans="1:40">
      <c r="A1476" s="1">
        <f>HYPERLINK("https://lsnyc.legalserver.org/matter/dynamic-profile/view/1908379","19-1908379")</f>
        <v>0</v>
      </c>
      <c r="B1476" t="s">
        <v>60</v>
      </c>
      <c r="C1476" t="s">
        <v>303</v>
      </c>
      <c r="E1476" t="s">
        <v>402</v>
      </c>
      <c r="F1476" t="s">
        <v>2133</v>
      </c>
      <c r="G1476" t="s">
        <v>2189</v>
      </c>
      <c r="H1476" t="s">
        <v>3472</v>
      </c>
      <c r="I1476" t="s">
        <v>3490</v>
      </c>
      <c r="J1476">
        <v>11233</v>
      </c>
      <c r="K1476" t="s">
        <v>3522</v>
      </c>
      <c r="L1476" t="s">
        <v>3525</v>
      </c>
      <c r="M1476" t="s">
        <v>4103</v>
      </c>
      <c r="N1476" t="s">
        <v>4107</v>
      </c>
      <c r="O1476" t="s">
        <v>4134</v>
      </c>
      <c r="Q1476" t="s">
        <v>4147</v>
      </c>
      <c r="R1476" t="s">
        <v>3522</v>
      </c>
      <c r="T1476" t="s">
        <v>4156</v>
      </c>
      <c r="U1476" t="s">
        <v>4168</v>
      </c>
      <c r="V1476" t="s">
        <v>303</v>
      </c>
      <c r="W1476">
        <v>890</v>
      </c>
      <c r="X1476" t="s">
        <v>4193</v>
      </c>
      <c r="Y1476" t="s">
        <v>4202</v>
      </c>
      <c r="Z1476" t="s">
        <v>5445</v>
      </c>
      <c r="AA1476" t="s">
        <v>3526</v>
      </c>
      <c r="AB1476" t="s">
        <v>6737</v>
      </c>
      <c r="AC1476">
        <v>359</v>
      </c>
      <c r="AD1476" t="s">
        <v>6772</v>
      </c>
      <c r="AE1476" t="s">
        <v>3526</v>
      </c>
      <c r="AF1476">
        <v>9</v>
      </c>
      <c r="AG1476">
        <v>1</v>
      </c>
      <c r="AH1476">
        <v>0</v>
      </c>
      <c r="AI1476">
        <v>504.4</v>
      </c>
      <c r="AL1476" t="s">
        <v>6801</v>
      </c>
      <c r="AM1476">
        <v>63000</v>
      </c>
      <c r="AN1476" t="s">
        <v>6907</v>
      </c>
    </row>
    <row r="1477" spans="1:40">
      <c r="A1477" s="1">
        <f>HYPERLINK("https://lsnyc.legalserver.org/matter/dynamic-profile/view/1905902","19-1905902")</f>
        <v>0</v>
      </c>
      <c r="B1477" t="s">
        <v>97</v>
      </c>
      <c r="C1477" t="s">
        <v>228</v>
      </c>
      <c r="E1477" t="s">
        <v>1239</v>
      </c>
      <c r="F1477" t="s">
        <v>2134</v>
      </c>
      <c r="G1477" t="s">
        <v>2414</v>
      </c>
      <c r="H1477" t="s">
        <v>3473</v>
      </c>
      <c r="I1477" t="s">
        <v>3490</v>
      </c>
      <c r="J1477">
        <v>11213</v>
      </c>
      <c r="K1477" t="s">
        <v>3522</v>
      </c>
      <c r="L1477" t="s">
        <v>3525</v>
      </c>
      <c r="M1477" t="s">
        <v>3529</v>
      </c>
      <c r="N1477" t="s">
        <v>4112</v>
      </c>
      <c r="O1477" t="s">
        <v>4135</v>
      </c>
      <c r="Q1477" t="s">
        <v>4147</v>
      </c>
      <c r="R1477" t="s">
        <v>3522</v>
      </c>
      <c r="T1477" t="s">
        <v>4156</v>
      </c>
      <c r="U1477" t="s">
        <v>4168</v>
      </c>
      <c r="V1477" t="s">
        <v>228</v>
      </c>
      <c r="W1477">
        <v>540</v>
      </c>
      <c r="X1477" t="s">
        <v>4193</v>
      </c>
      <c r="Y1477" t="s">
        <v>4201</v>
      </c>
      <c r="Z1477" t="s">
        <v>5446</v>
      </c>
      <c r="AA1477" t="s">
        <v>3526</v>
      </c>
      <c r="AB1477" t="s">
        <v>6738</v>
      </c>
      <c r="AC1477">
        <v>6</v>
      </c>
      <c r="AD1477" t="s">
        <v>6772</v>
      </c>
      <c r="AE1477" t="s">
        <v>3526</v>
      </c>
      <c r="AF1477">
        <v>18</v>
      </c>
      <c r="AG1477">
        <v>1</v>
      </c>
      <c r="AH1477">
        <v>0</v>
      </c>
      <c r="AI1477">
        <v>512.41</v>
      </c>
      <c r="AL1477" t="s">
        <v>6801</v>
      </c>
      <c r="AM1477">
        <v>64000</v>
      </c>
      <c r="AN1477" t="s">
        <v>6908</v>
      </c>
    </row>
    <row r="1478" spans="1:40">
      <c r="A1478" s="1">
        <f>HYPERLINK("https://lsnyc.legalserver.org/matter/dynamic-profile/view/1900482","19-1900482")</f>
        <v>0</v>
      </c>
      <c r="B1478" t="s">
        <v>60</v>
      </c>
      <c r="C1478" t="s">
        <v>361</v>
      </c>
      <c r="E1478" t="s">
        <v>1239</v>
      </c>
      <c r="F1478" t="s">
        <v>2134</v>
      </c>
      <c r="G1478" t="s">
        <v>2414</v>
      </c>
      <c r="H1478" t="s">
        <v>3473</v>
      </c>
      <c r="I1478" t="s">
        <v>3490</v>
      </c>
      <c r="J1478">
        <v>11213</v>
      </c>
      <c r="K1478" t="s">
        <v>3522</v>
      </c>
      <c r="L1478" t="s">
        <v>3525</v>
      </c>
      <c r="M1478" t="s">
        <v>4104</v>
      </c>
      <c r="N1478" t="s">
        <v>4109</v>
      </c>
      <c r="O1478" t="s">
        <v>4134</v>
      </c>
      <c r="Q1478" t="s">
        <v>4147</v>
      </c>
      <c r="R1478" t="s">
        <v>3523</v>
      </c>
      <c r="T1478" t="s">
        <v>4156</v>
      </c>
      <c r="U1478" t="s">
        <v>4168</v>
      </c>
      <c r="V1478" t="s">
        <v>272</v>
      </c>
      <c r="W1478">
        <v>540</v>
      </c>
      <c r="X1478" t="s">
        <v>4193</v>
      </c>
      <c r="Y1478" t="s">
        <v>4201</v>
      </c>
      <c r="Z1478" t="s">
        <v>5446</v>
      </c>
      <c r="AA1478" t="s">
        <v>3526</v>
      </c>
      <c r="AB1478" t="s">
        <v>6738</v>
      </c>
      <c r="AC1478">
        <v>6</v>
      </c>
      <c r="AD1478" t="s">
        <v>6772</v>
      </c>
      <c r="AE1478" t="s">
        <v>3526</v>
      </c>
      <c r="AF1478">
        <v>18</v>
      </c>
      <c r="AG1478">
        <v>1</v>
      </c>
      <c r="AH1478">
        <v>0</v>
      </c>
      <c r="AI1478">
        <v>512.41</v>
      </c>
      <c r="AL1478" t="s">
        <v>6801</v>
      </c>
      <c r="AM1478">
        <v>64000</v>
      </c>
      <c r="AN1478" t="s">
        <v>6909</v>
      </c>
    </row>
    <row r="1479" spans="1:40">
      <c r="A1479" s="1">
        <f>HYPERLINK("https://lsnyc.legalserver.org/matter/dynamic-profile/view/1894378","19-1894378")</f>
        <v>0</v>
      </c>
      <c r="B1479" t="s">
        <v>54</v>
      </c>
      <c r="C1479" t="s">
        <v>249</v>
      </c>
      <c r="E1479" t="s">
        <v>1214</v>
      </c>
      <c r="F1479" t="s">
        <v>2097</v>
      </c>
      <c r="G1479" t="s">
        <v>2212</v>
      </c>
      <c r="H1479">
        <v>28</v>
      </c>
      <c r="I1479" t="s">
        <v>3490</v>
      </c>
      <c r="J1479">
        <v>11213</v>
      </c>
      <c r="K1479" t="s">
        <v>3522</v>
      </c>
      <c r="L1479" t="s">
        <v>3525</v>
      </c>
      <c r="M1479" t="s">
        <v>4105</v>
      </c>
      <c r="N1479" t="s">
        <v>4109</v>
      </c>
      <c r="O1479" t="s">
        <v>4134</v>
      </c>
      <c r="Q1479" t="s">
        <v>4147</v>
      </c>
      <c r="R1479" t="s">
        <v>3523</v>
      </c>
      <c r="T1479" t="s">
        <v>4156</v>
      </c>
      <c r="U1479" t="s">
        <v>4168</v>
      </c>
      <c r="V1479" t="s">
        <v>210</v>
      </c>
      <c r="W1479">
        <v>1326</v>
      </c>
      <c r="X1479" t="s">
        <v>4193</v>
      </c>
      <c r="Y1479" t="s">
        <v>4201</v>
      </c>
      <c r="Z1479" t="s">
        <v>5398</v>
      </c>
      <c r="AB1479" t="s">
        <v>6698</v>
      </c>
      <c r="AC1479">
        <v>31</v>
      </c>
      <c r="AD1479" t="s">
        <v>6772</v>
      </c>
      <c r="AE1479" t="s">
        <v>3526</v>
      </c>
      <c r="AF1479">
        <v>2</v>
      </c>
      <c r="AG1479">
        <v>1</v>
      </c>
      <c r="AH1479">
        <v>0</v>
      </c>
      <c r="AI1479">
        <v>513.79</v>
      </c>
      <c r="AL1479" t="s">
        <v>6801</v>
      </c>
      <c r="AM1479">
        <v>64172</v>
      </c>
    </row>
    <row r="1480" spans="1:40">
      <c r="A1480" s="1">
        <f>HYPERLINK("https://lsnyc.legalserver.org/matter/dynamic-profile/view/1915073","19-1915073")</f>
        <v>0</v>
      </c>
      <c r="B1480" t="s">
        <v>72</v>
      </c>
      <c r="C1480" t="s">
        <v>219</v>
      </c>
      <c r="E1480" t="s">
        <v>1240</v>
      </c>
      <c r="F1480" t="s">
        <v>661</v>
      </c>
      <c r="G1480" t="s">
        <v>2336</v>
      </c>
      <c r="H1480" t="s">
        <v>3189</v>
      </c>
      <c r="I1480" t="s">
        <v>3490</v>
      </c>
      <c r="J1480">
        <v>11212</v>
      </c>
      <c r="K1480" t="s">
        <v>3522</v>
      </c>
      <c r="L1480" t="s">
        <v>3525</v>
      </c>
      <c r="M1480" t="s">
        <v>3529</v>
      </c>
      <c r="N1480" t="s">
        <v>4112</v>
      </c>
      <c r="O1480" t="s">
        <v>4135</v>
      </c>
      <c r="Q1480" t="s">
        <v>4147</v>
      </c>
      <c r="R1480" t="s">
        <v>3522</v>
      </c>
      <c r="T1480" t="s">
        <v>4156</v>
      </c>
      <c r="U1480" t="s">
        <v>4168</v>
      </c>
      <c r="V1480" t="s">
        <v>301</v>
      </c>
      <c r="W1480">
        <v>789.73</v>
      </c>
      <c r="X1480" t="s">
        <v>4193</v>
      </c>
      <c r="Y1480" t="s">
        <v>4198</v>
      </c>
      <c r="Z1480" t="s">
        <v>5447</v>
      </c>
      <c r="AA1480" t="s">
        <v>3562</v>
      </c>
      <c r="AB1480" t="s">
        <v>6739</v>
      </c>
      <c r="AC1480">
        <v>19</v>
      </c>
      <c r="AD1480" t="s">
        <v>6772</v>
      </c>
      <c r="AE1480" t="s">
        <v>3526</v>
      </c>
      <c r="AF1480">
        <v>0</v>
      </c>
      <c r="AG1480">
        <v>1</v>
      </c>
      <c r="AH1480">
        <v>0</v>
      </c>
      <c r="AI1480">
        <v>520.42</v>
      </c>
      <c r="AL1480" t="s">
        <v>6801</v>
      </c>
      <c r="AM1480">
        <v>65000</v>
      </c>
      <c r="AN1480" t="s">
        <v>6910</v>
      </c>
    </row>
    <row r="1481" spans="1:40">
      <c r="A1481" s="1">
        <f>HYPERLINK("https://lsnyc.legalserver.org/matter/dynamic-profile/view/1915071","19-1915071")</f>
        <v>0</v>
      </c>
      <c r="B1481" t="s">
        <v>72</v>
      </c>
      <c r="C1481" t="s">
        <v>219</v>
      </c>
      <c r="E1481" t="s">
        <v>1240</v>
      </c>
      <c r="F1481" t="s">
        <v>661</v>
      </c>
      <c r="G1481" t="s">
        <v>2336</v>
      </c>
      <c r="H1481" t="s">
        <v>3189</v>
      </c>
      <c r="I1481" t="s">
        <v>3490</v>
      </c>
      <c r="J1481">
        <v>11212</v>
      </c>
      <c r="K1481" t="s">
        <v>3522</v>
      </c>
      <c r="L1481" t="s">
        <v>3525</v>
      </c>
      <c r="M1481" t="s">
        <v>3637</v>
      </c>
      <c r="N1481" t="s">
        <v>4113</v>
      </c>
      <c r="O1481" t="s">
        <v>4138</v>
      </c>
      <c r="Q1481" t="s">
        <v>4147</v>
      </c>
      <c r="R1481" t="s">
        <v>3522</v>
      </c>
      <c r="T1481" t="s">
        <v>4156</v>
      </c>
      <c r="U1481" t="s">
        <v>4168</v>
      </c>
      <c r="V1481" t="s">
        <v>269</v>
      </c>
      <c r="W1481">
        <v>789.73</v>
      </c>
      <c r="X1481" t="s">
        <v>4193</v>
      </c>
      <c r="Y1481" t="s">
        <v>4198</v>
      </c>
      <c r="Z1481" t="s">
        <v>5447</v>
      </c>
      <c r="AA1481" t="s">
        <v>3562</v>
      </c>
      <c r="AB1481" t="s">
        <v>6739</v>
      </c>
      <c r="AC1481">
        <v>19</v>
      </c>
      <c r="AD1481" t="s">
        <v>6772</v>
      </c>
      <c r="AE1481" t="s">
        <v>3526</v>
      </c>
      <c r="AF1481">
        <v>0</v>
      </c>
      <c r="AG1481">
        <v>1</v>
      </c>
      <c r="AH1481">
        <v>0</v>
      </c>
      <c r="AI1481">
        <v>520.42</v>
      </c>
      <c r="AL1481" t="s">
        <v>6801</v>
      </c>
      <c r="AM1481">
        <v>65000</v>
      </c>
      <c r="AN1481" t="s">
        <v>6911</v>
      </c>
    </row>
    <row r="1482" spans="1:40">
      <c r="A1482" s="1">
        <f>HYPERLINK("https://lsnyc.legalserver.org/matter/dynamic-profile/view/1905679","19-1905679")</f>
        <v>0</v>
      </c>
      <c r="B1482" t="s">
        <v>52</v>
      </c>
      <c r="C1482" t="s">
        <v>206</v>
      </c>
      <c r="E1482" t="s">
        <v>740</v>
      </c>
      <c r="F1482" t="s">
        <v>2135</v>
      </c>
      <c r="G1482" t="s">
        <v>2410</v>
      </c>
      <c r="H1482" t="s">
        <v>3140</v>
      </c>
      <c r="I1482" t="s">
        <v>3490</v>
      </c>
      <c r="J1482">
        <v>11226</v>
      </c>
      <c r="K1482" t="s">
        <v>3522</v>
      </c>
      <c r="N1482" t="s">
        <v>4110</v>
      </c>
      <c r="O1482" t="s">
        <v>4137</v>
      </c>
      <c r="Q1482" t="s">
        <v>4147</v>
      </c>
      <c r="R1482" t="s">
        <v>3522</v>
      </c>
      <c r="S1482" t="s">
        <v>4149</v>
      </c>
      <c r="T1482" t="s">
        <v>4156</v>
      </c>
      <c r="V1482" t="s">
        <v>206</v>
      </c>
      <c r="W1482">
        <v>0</v>
      </c>
      <c r="X1482" t="s">
        <v>4193</v>
      </c>
      <c r="Z1482" t="s">
        <v>5448</v>
      </c>
      <c r="AB1482" t="s">
        <v>6740</v>
      </c>
      <c r="AC1482">
        <v>36</v>
      </c>
      <c r="AD1482" t="s">
        <v>6772</v>
      </c>
      <c r="AF1482">
        <v>0</v>
      </c>
      <c r="AG1482">
        <v>2</v>
      </c>
      <c r="AH1482">
        <v>0</v>
      </c>
      <c r="AI1482">
        <v>532.23</v>
      </c>
      <c r="AL1482" t="s">
        <v>6801</v>
      </c>
      <c r="AM1482">
        <v>90000</v>
      </c>
    </row>
    <row r="1483" spans="1:40">
      <c r="A1483" s="1">
        <f>HYPERLINK("https://lsnyc.legalserver.org/matter/dynamic-profile/view/1914246","19-1914246")</f>
        <v>0</v>
      </c>
      <c r="B1483" t="s">
        <v>91</v>
      </c>
      <c r="C1483" t="s">
        <v>245</v>
      </c>
      <c r="E1483" t="s">
        <v>1241</v>
      </c>
      <c r="F1483" t="s">
        <v>2136</v>
      </c>
      <c r="G1483" t="s">
        <v>3112</v>
      </c>
      <c r="H1483" t="s">
        <v>3391</v>
      </c>
      <c r="I1483" t="s">
        <v>3495</v>
      </c>
      <c r="J1483">
        <v>10037</v>
      </c>
      <c r="K1483" t="s">
        <v>3522</v>
      </c>
      <c r="L1483" t="s">
        <v>3525</v>
      </c>
      <c r="N1483" t="s">
        <v>4108</v>
      </c>
      <c r="O1483" t="s">
        <v>4134</v>
      </c>
      <c r="Q1483" t="s">
        <v>4147</v>
      </c>
      <c r="R1483" t="s">
        <v>3522</v>
      </c>
      <c r="T1483" t="s">
        <v>4156</v>
      </c>
      <c r="U1483" t="s">
        <v>4168</v>
      </c>
      <c r="V1483" t="s">
        <v>199</v>
      </c>
      <c r="W1483">
        <v>2850</v>
      </c>
      <c r="X1483" t="s">
        <v>4196</v>
      </c>
      <c r="Y1483" t="s">
        <v>4198</v>
      </c>
      <c r="Z1483" t="s">
        <v>5449</v>
      </c>
      <c r="AB1483" t="s">
        <v>6741</v>
      </c>
      <c r="AC1483">
        <v>259</v>
      </c>
      <c r="AD1483" t="s">
        <v>6772</v>
      </c>
      <c r="AE1483" t="s">
        <v>3526</v>
      </c>
      <c r="AF1483">
        <v>2</v>
      </c>
      <c r="AG1483">
        <v>2</v>
      </c>
      <c r="AH1483">
        <v>0</v>
      </c>
      <c r="AI1483">
        <v>532.23</v>
      </c>
      <c r="AL1483" t="s">
        <v>6801</v>
      </c>
      <c r="AM1483">
        <v>90000</v>
      </c>
    </row>
    <row r="1484" spans="1:40">
      <c r="A1484" s="1">
        <f>HYPERLINK("https://lsnyc.legalserver.org/matter/dynamic-profile/view/1916664","19-1916664")</f>
        <v>0</v>
      </c>
      <c r="B1484" t="s">
        <v>90</v>
      </c>
      <c r="C1484" t="s">
        <v>213</v>
      </c>
      <c r="D1484" t="s">
        <v>332</v>
      </c>
      <c r="E1484" t="s">
        <v>874</v>
      </c>
      <c r="F1484" t="s">
        <v>2137</v>
      </c>
      <c r="G1484" t="s">
        <v>3113</v>
      </c>
      <c r="H1484" t="s">
        <v>3335</v>
      </c>
      <c r="I1484" t="s">
        <v>3495</v>
      </c>
      <c r="J1484">
        <v>10033</v>
      </c>
      <c r="K1484" t="s">
        <v>3522</v>
      </c>
      <c r="L1484" t="s">
        <v>3525</v>
      </c>
      <c r="O1484" t="s">
        <v>4132</v>
      </c>
      <c r="P1484" t="s">
        <v>4139</v>
      </c>
      <c r="Q1484" t="s">
        <v>4147</v>
      </c>
      <c r="R1484" t="s">
        <v>3523</v>
      </c>
      <c r="T1484" t="s">
        <v>4156</v>
      </c>
      <c r="V1484" t="s">
        <v>213</v>
      </c>
      <c r="W1484">
        <v>2600</v>
      </c>
      <c r="X1484" t="s">
        <v>4196</v>
      </c>
      <c r="Y1484" t="s">
        <v>4205</v>
      </c>
      <c r="Z1484" t="s">
        <v>5379</v>
      </c>
      <c r="AB1484" t="s">
        <v>6742</v>
      </c>
      <c r="AC1484">
        <v>26</v>
      </c>
      <c r="AD1484" t="s">
        <v>6772</v>
      </c>
      <c r="AE1484" t="s">
        <v>3526</v>
      </c>
      <c r="AF1484">
        <v>-1</v>
      </c>
      <c r="AG1484">
        <v>2</v>
      </c>
      <c r="AH1484">
        <v>0</v>
      </c>
      <c r="AI1484">
        <v>532.23</v>
      </c>
      <c r="AL1484" t="s">
        <v>6801</v>
      </c>
      <c r="AM1484">
        <v>90000</v>
      </c>
    </row>
    <row r="1485" spans="1:40">
      <c r="A1485" s="1">
        <f>HYPERLINK("https://lsnyc.legalserver.org/matter/dynamic-profile/view/1904206","19-1904206")</f>
        <v>0</v>
      </c>
      <c r="B1485" t="s">
        <v>99</v>
      </c>
      <c r="C1485" t="s">
        <v>209</v>
      </c>
      <c r="E1485" t="s">
        <v>1242</v>
      </c>
      <c r="F1485" t="s">
        <v>1928</v>
      </c>
      <c r="G1485" t="s">
        <v>2283</v>
      </c>
      <c r="H1485" t="s">
        <v>3141</v>
      </c>
      <c r="I1485" t="s">
        <v>3495</v>
      </c>
      <c r="J1485">
        <v>10024</v>
      </c>
      <c r="K1485" t="s">
        <v>3522</v>
      </c>
      <c r="L1485" t="s">
        <v>3525</v>
      </c>
      <c r="M1485" t="s">
        <v>3599</v>
      </c>
      <c r="N1485" t="s">
        <v>4110</v>
      </c>
      <c r="O1485" t="s">
        <v>4137</v>
      </c>
      <c r="Q1485" t="s">
        <v>4147</v>
      </c>
      <c r="R1485" t="s">
        <v>3523</v>
      </c>
      <c r="T1485" t="s">
        <v>4156</v>
      </c>
      <c r="U1485" t="s">
        <v>4168</v>
      </c>
      <c r="V1485" t="s">
        <v>209</v>
      </c>
      <c r="W1485">
        <v>1300</v>
      </c>
      <c r="X1485" t="s">
        <v>4196</v>
      </c>
      <c r="Y1485" t="s">
        <v>4207</v>
      </c>
      <c r="Z1485" t="s">
        <v>4798</v>
      </c>
      <c r="AB1485" t="s">
        <v>6743</v>
      </c>
      <c r="AC1485">
        <v>10</v>
      </c>
      <c r="AD1485" t="s">
        <v>6772</v>
      </c>
      <c r="AE1485" t="s">
        <v>3526</v>
      </c>
      <c r="AF1485">
        <v>30</v>
      </c>
      <c r="AG1485">
        <v>2</v>
      </c>
      <c r="AH1485">
        <v>0</v>
      </c>
      <c r="AI1485">
        <v>532.23</v>
      </c>
      <c r="AL1485" t="s">
        <v>6801</v>
      </c>
      <c r="AM1485">
        <v>90000</v>
      </c>
    </row>
    <row r="1486" spans="1:40">
      <c r="A1486" s="1">
        <f>HYPERLINK("https://lsnyc.legalserver.org/matter/dynamic-profile/view/1910061","19-1910061")</f>
        <v>0</v>
      </c>
      <c r="B1486" t="s">
        <v>73</v>
      </c>
      <c r="C1486" t="s">
        <v>230</v>
      </c>
      <c r="D1486" t="s">
        <v>291</v>
      </c>
      <c r="E1486" t="s">
        <v>954</v>
      </c>
      <c r="F1486" t="s">
        <v>2138</v>
      </c>
      <c r="G1486" t="s">
        <v>2916</v>
      </c>
      <c r="H1486" t="s">
        <v>3125</v>
      </c>
      <c r="I1486" t="s">
        <v>3493</v>
      </c>
      <c r="J1486">
        <v>10452</v>
      </c>
      <c r="K1486" t="s">
        <v>3522</v>
      </c>
      <c r="L1486" t="s">
        <v>3525</v>
      </c>
      <c r="N1486" t="s">
        <v>3554</v>
      </c>
      <c r="O1486" t="s">
        <v>4135</v>
      </c>
      <c r="P1486" t="s">
        <v>4142</v>
      </c>
      <c r="Q1486" t="s">
        <v>4147</v>
      </c>
      <c r="R1486" t="s">
        <v>3523</v>
      </c>
      <c r="T1486" t="s">
        <v>4156</v>
      </c>
      <c r="V1486" t="s">
        <v>201</v>
      </c>
      <c r="W1486">
        <v>930.77</v>
      </c>
      <c r="X1486" t="s">
        <v>4194</v>
      </c>
      <c r="Y1486" t="s">
        <v>4206</v>
      </c>
      <c r="Z1486" t="s">
        <v>5450</v>
      </c>
      <c r="AB1486" t="s">
        <v>6744</v>
      </c>
      <c r="AC1486">
        <v>63</v>
      </c>
      <c r="AD1486" t="s">
        <v>6772</v>
      </c>
      <c r="AE1486" t="s">
        <v>3526</v>
      </c>
      <c r="AF1486">
        <v>30</v>
      </c>
      <c r="AG1486">
        <v>1</v>
      </c>
      <c r="AH1486">
        <v>0</v>
      </c>
      <c r="AI1486">
        <v>547.64</v>
      </c>
      <c r="AL1486" t="s">
        <v>6801</v>
      </c>
      <c r="AM1486">
        <v>68400</v>
      </c>
    </row>
    <row r="1487" spans="1:40">
      <c r="A1487" s="1">
        <f>HYPERLINK("https://lsnyc.legalserver.org/matter/dynamic-profile/view/1908743","19-1908743")</f>
        <v>0</v>
      </c>
      <c r="B1487" t="s">
        <v>46</v>
      </c>
      <c r="C1487" t="s">
        <v>205</v>
      </c>
      <c r="E1487" t="s">
        <v>716</v>
      </c>
      <c r="F1487" t="s">
        <v>2139</v>
      </c>
      <c r="G1487" t="s">
        <v>3114</v>
      </c>
      <c r="H1487" t="s">
        <v>3318</v>
      </c>
      <c r="I1487" t="s">
        <v>3492</v>
      </c>
      <c r="J1487">
        <v>11104</v>
      </c>
      <c r="K1487" t="s">
        <v>3522</v>
      </c>
      <c r="L1487" t="s">
        <v>3525</v>
      </c>
      <c r="N1487" t="s">
        <v>3554</v>
      </c>
      <c r="O1487" t="s">
        <v>4132</v>
      </c>
      <c r="Q1487" t="s">
        <v>4148</v>
      </c>
      <c r="R1487" t="s">
        <v>3523</v>
      </c>
      <c r="T1487" t="s">
        <v>4156</v>
      </c>
      <c r="V1487" t="s">
        <v>205</v>
      </c>
      <c r="W1487">
        <v>2015</v>
      </c>
      <c r="X1487" t="s">
        <v>4192</v>
      </c>
      <c r="Y1487" t="s">
        <v>4199</v>
      </c>
      <c r="Z1487" t="s">
        <v>5451</v>
      </c>
      <c r="AB1487" t="s">
        <v>6745</v>
      </c>
      <c r="AC1487">
        <v>95</v>
      </c>
      <c r="AD1487" t="s">
        <v>6772</v>
      </c>
      <c r="AF1487">
        <v>-1</v>
      </c>
      <c r="AG1487">
        <v>1</v>
      </c>
      <c r="AH1487">
        <v>0</v>
      </c>
      <c r="AI1487">
        <v>560.45</v>
      </c>
      <c r="AJ1487" t="s">
        <v>6795</v>
      </c>
      <c r="AK1487" t="s">
        <v>6798</v>
      </c>
      <c r="AL1487" t="s">
        <v>6801</v>
      </c>
      <c r="AM1487">
        <v>70000</v>
      </c>
    </row>
    <row r="1488" spans="1:40">
      <c r="A1488" s="1">
        <f>HYPERLINK("https://lsnyc.legalserver.org/matter/dynamic-profile/view/1905028","19-1905028")</f>
        <v>0</v>
      </c>
      <c r="B1488" t="s">
        <v>91</v>
      </c>
      <c r="C1488" t="s">
        <v>216</v>
      </c>
      <c r="E1488" t="s">
        <v>1243</v>
      </c>
      <c r="F1488" t="s">
        <v>2140</v>
      </c>
      <c r="G1488" t="s">
        <v>2908</v>
      </c>
      <c r="H1488" t="s">
        <v>3141</v>
      </c>
      <c r="I1488" t="s">
        <v>3495</v>
      </c>
      <c r="J1488">
        <v>10024</v>
      </c>
      <c r="K1488" t="s">
        <v>3522</v>
      </c>
      <c r="L1488" t="s">
        <v>3525</v>
      </c>
      <c r="N1488" t="s">
        <v>4108</v>
      </c>
      <c r="O1488" t="s">
        <v>4134</v>
      </c>
      <c r="Q1488" t="s">
        <v>4147</v>
      </c>
      <c r="R1488" t="s">
        <v>3522</v>
      </c>
      <c r="T1488" t="s">
        <v>4156</v>
      </c>
      <c r="U1488" t="s">
        <v>4168</v>
      </c>
      <c r="V1488" t="s">
        <v>336</v>
      </c>
      <c r="W1488">
        <v>2085</v>
      </c>
      <c r="X1488" t="s">
        <v>4196</v>
      </c>
      <c r="Y1488" t="s">
        <v>4207</v>
      </c>
      <c r="Z1488" t="s">
        <v>5452</v>
      </c>
      <c r="AB1488" t="s">
        <v>6746</v>
      </c>
      <c r="AC1488">
        <v>29</v>
      </c>
      <c r="AD1488" t="s">
        <v>6772</v>
      </c>
      <c r="AE1488" t="s">
        <v>3526</v>
      </c>
      <c r="AF1488">
        <v>2</v>
      </c>
      <c r="AG1488">
        <v>1</v>
      </c>
      <c r="AH1488">
        <v>0</v>
      </c>
      <c r="AI1488">
        <v>560.45</v>
      </c>
      <c r="AL1488" t="s">
        <v>6801</v>
      </c>
      <c r="AM1488">
        <v>70000</v>
      </c>
    </row>
    <row r="1489" spans="1:42">
      <c r="A1489" s="1">
        <f>HYPERLINK("https://lsnyc.legalserver.org/matter/dynamic-profile/view/1907697","19-1907697")</f>
        <v>0</v>
      </c>
      <c r="B1489" t="s">
        <v>47</v>
      </c>
      <c r="C1489" t="s">
        <v>284</v>
      </c>
      <c r="E1489" t="s">
        <v>586</v>
      </c>
      <c r="F1489" t="s">
        <v>2141</v>
      </c>
      <c r="G1489" t="s">
        <v>3017</v>
      </c>
      <c r="I1489" t="s">
        <v>3486</v>
      </c>
      <c r="J1489">
        <v>11377</v>
      </c>
      <c r="K1489" t="s">
        <v>3522</v>
      </c>
      <c r="L1489" t="s">
        <v>3525</v>
      </c>
      <c r="M1489" t="s">
        <v>4046</v>
      </c>
      <c r="N1489" t="s">
        <v>4110</v>
      </c>
      <c r="O1489" t="s">
        <v>4137</v>
      </c>
      <c r="Q1489" t="s">
        <v>4147</v>
      </c>
      <c r="R1489" t="s">
        <v>3522</v>
      </c>
      <c r="T1489" t="s">
        <v>4156</v>
      </c>
      <c r="U1489" t="s">
        <v>4168</v>
      </c>
      <c r="V1489" t="s">
        <v>284</v>
      </c>
      <c r="W1489">
        <v>1543</v>
      </c>
      <c r="X1489" t="s">
        <v>4192</v>
      </c>
      <c r="Y1489" t="s">
        <v>4206</v>
      </c>
      <c r="Z1489" t="s">
        <v>5453</v>
      </c>
      <c r="AB1489" t="s">
        <v>6747</v>
      </c>
      <c r="AC1489">
        <v>390</v>
      </c>
      <c r="AD1489" t="s">
        <v>5524</v>
      </c>
      <c r="AE1489" t="s">
        <v>3526</v>
      </c>
      <c r="AF1489">
        <v>2</v>
      </c>
      <c r="AG1489">
        <v>2</v>
      </c>
      <c r="AH1489">
        <v>0</v>
      </c>
      <c r="AI1489">
        <v>591.37</v>
      </c>
      <c r="AL1489" t="s">
        <v>6802</v>
      </c>
      <c r="AM1489">
        <v>100000</v>
      </c>
      <c r="AP1489" t="s">
        <v>4200</v>
      </c>
    </row>
    <row r="1490" spans="1:42">
      <c r="A1490" s="1">
        <f>HYPERLINK("https://lsnyc.legalserver.org/matter/dynamic-profile/view/1913712","19-1913712")</f>
        <v>0</v>
      </c>
      <c r="B1490" t="s">
        <v>91</v>
      </c>
      <c r="C1490" t="s">
        <v>238</v>
      </c>
      <c r="D1490" t="s">
        <v>242</v>
      </c>
      <c r="E1490" t="s">
        <v>1244</v>
      </c>
      <c r="F1490" t="s">
        <v>2142</v>
      </c>
      <c r="G1490" t="s">
        <v>3115</v>
      </c>
      <c r="H1490" t="s">
        <v>3179</v>
      </c>
      <c r="I1490" t="s">
        <v>3495</v>
      </c>
      <c r="J1490">
        <v>10035</v>
      </c>
      <c r="K1490" t="s">
        <v>3522</v>
      </c>
      <c r="L1490" t="s">
        <v>3525</v>
      </c>
      <c r="N1490" t="s">
        <v>3554</v>
      </c>
      <c r="O1490" t="s">
        <v>4135</v>
      </c>
      <c r="P1490" t="s">
        <v>4142</v>
      </c>
      <c r="Q1490" t="s">
        <v>4147</v>
      </c>
      <c r="R1490" t="s">
        <v>3523</v>
      </c>
      <c r="T1490" t="s">
        <v>4156</v>
      </c>
      <c r="U1490" t="s">
        <v>4168</v>
      </c>
      <c r="V1490" t="s">
        <v>192</v>
      </c>
      <c r="W1490">
        <v>1900</v>
      </c>
      <c r="X1490" t="s">
        <v>4196</v>
      </c>
      <c r="Y1490" t="s">
        <v>4212</v>
      </c>
      <c r="Z1490" t="s">
        <v>5454</v>
      </c>
      <c r="AB1490" t="s">
        <v>6748</v>
      </c>
      <c r="AC1490">
        <v>35</v>
      </c>
      <c r="AD1490" t="s">
        <v>6772</v>
      </c>
      <c r="AE1490" t="s">
        <v>3526</v>
      </c>
      <c r="AF1490">
        <v>2</v>
      </c>
      <c r="AG1490">
        <v>2</v>
      </c>
      <c r="AH1490">
        <v>0</v>
      </c>
      <c r="AI1490">
        <v>591.37</v>
      </c>
      <c r="AL1490" t="s">
        <v>6801</v>
      </c>
      <c r="AM1490">
        <v>100000</v>
      </c>
    </row>
    <row r="1491" spans="1:42">
      <c r="A1491" s="1">
        <f>HYPERLINK("https://lsnyc.legalserver.org/matter/dynamic-profile/view/1916338","19-1916338")</f>
        <v>0</v>
      </c>
      <c r="B1491" t="s">
        <v>91</v>
      </c>
      <c r="C1491" t="s">
        <v>223</v>
      </c>
      <c r="E1491" t="s">
        <v>1244</v>
      </c>
      <c r="F1491" t="s">
        <v>2142</v>
      </c>
      <c r="G1491" t="s">
        <v>3115</v>
      </c>
      <c r="H1491" t="s">
        <v>3179</v>
      </c>
      <c r="I1491" t="s">
        <v>3495</v>
      </c>
      <c r="J1491">
        <v>10035</v>
      </c>
      <c r="K1491" t="s">
        <v>3522</v>
      </c>
      <c r="L1491" t="s">
        <v>3525</v>
      </c>
      <c r="N1491" t="s">
        <v>3554</v>
      </c>
      <c r="O1491" t="s">
        <v>4135</v>
      </c>
      <c r="Q1491" t="s">
        <v>4147</v>
      </c>
      <c r="R1491" t="s">
        <v>3522</v>
      </c>
      <c r="T1491" t="s">
        <v>4156</v>
      </c>
      <c r="U1491" t="s">
        <v>4168</v>
      </c>
      <c r="V1491" t="s">
        <v>223</v>
      </c>
      <c r="W1491">
        <v>1900</v>
      </c>
      <c r="X1491" t="s">
        <v>4196</v>
      </c>
      <c r="Y1491" t="s">
        <v>4201</v>
      </c>
      <c r="Z1491" t="s">
        <v>5454</v>
      </c>
      <c r="AB1491" t="s">
        <v>6748</v>
      </c>
      <c r="AC1491">
        <v>35</v>
      </c>
      <c r="AD1491" t="s">
        <v>6772</v>
      </c>
      <c r="AE1491" t="s">
        <v>4200</v>
      </c>
      <c r="AF1491">
        <v>2</v>
      </c>
      <c r="AG1491">
        <v>2</v>
      </c>
      <c r="AH1491">
        <v>0</v>
      </c>
      <c r="AI1491">
        <v>591.37</v>
      </c>
      <c r="AL1491" t="s">
        <v>6801</v>
      </c>
      <c r="AM1491">
        <v>100000</v>
      </c>
    </row>
    <row r="1492" spans="1:42">
      <c r="A1492" s="1">
        <f>HYPERLINK("https://lsnyc.legalserver.org/matter/dynamic-profile/view/1913056","19-1913056")</f>
        <v>0</v>
      </c>
      <c r="B1492" t="s">
        <v>95</v>
      </c>
      <c r="C1492" t="s">
        <v>314</v>
      </c>
      <c r="D1492" t="s">
        <v>238</v>
      </c>
      <c r="E1492" t="s">
        <v>1245</v>
      </c>
      <c r="F1492" t="s">
        <v>2143</v>
      </c>
      <c r="G1492" t="s">
        <v>3116</v>
      </c>
      <c r="H1492" t="s">
        <v>3131</v>
      </c>
      <c r="I1492" t="s">
        <v>3495</v>
      </c>
      <c r="J1492">
        <v>10002</v>
      </c>
      <c r="K1492" t="s">
        <v>3522</v>
      </c>
      <c r="L1492" t="s">
        <v>3525</v>
      </c>
      <c r="N1492" t="s">
        <v>3554</v>
      </c>
      <c r="O1492" t="s">
        <v>4132</v>
      </c>
      <c r="P1492" t="s">
        <v>4139</v>
      </c>
      <c r="Q1492" t="s">
        <v>4148</v>
      </c>
      <c r="R1492" t="s">
        <v>3523</v>
      </c>
      <c r="T1492" t="s">
        <v>4156</v>
      </c>
      <c r="V1492" t="s">
        <v>314</v>
      </c>
      <c r="W1492">
        <v>1250</v>
      </c>
      <c r="X1492" t="s">
        <v>4196</v>
      </c>
      <c r="Y1492" t="s">
        <v>4199</v>
      </c>
      <c r="Z1492" t="s">
        <v>5455</v>
      </c>
      <c r="AC1492">
        <v>0</v>
      </c>
      <c r="AD1492" t="s">
        <v>6772</v>
      </c>
      <c r="AE1492" t="s">
        <v>3526</v>
      </c>
      <c r="AF1492">
        <v>5</v>
      </c>
      <c r="AG1492">
        <v>1</v>
      </c>
      <c r="AH1492">
        <v>0</v>
      </c>
      <c r="AI1492">
        <v>600.48</v>
      </c>
      <c r="AJ1492" t="s">
        <v>6795</v>
      </c>
      <c r="AK1492" t="s">
        <v>6798</v>
      </c>
      <c r="AL1492" t="s">
        <v>6801</v>
      </c>
      <c r="AM1492">
        <v>75000</v>
      </c>
    </row>
    <row r="1493" spans="1:42">
      <c r="A1493" s="1">
        <f>HYPERLINK("https://lsnyc.legalserver.org/matter/dynamic-profile/view/1914160","19-1914160")</f>
        <v>0</v>
      </c>
      <c r="B1493" t="s">
        <v>91</v>
      </c>
      <c r="C1493" t="s">
        <v>191</v>
      </c>
      <c r="E1493" t="s">
        <v>392</v>
      </c>
      <c r="F1493" t="s">
        <v>2144</v>
      </c>
      <c r="G1493" t="s">
        <v>2249</v>
      </c>
      <c r="H1493" t="s">
        <v>3180</v>
      </c>
      <c r="I1493" t="s">
        <v>3495</v>
      </c>
      <c r="J1493">
        <v>10037</v>
      </c>
      <c r="K1493" t="s">
        <v>3522</v>
      </c>
      <c r="L1493" t="s">
        <v>3525</v>
      </c>
      <c r="N1493" t="s">
        <v>4108</v>
      </c>
      <c r="O1493" t="s">
        <v>4136</v>
      </c>
      <c r="Q1493" t="s">
        <v>4147</v>
      </c>
      <c r="R1493" t="s">
        <v>3522</v>
      </c>
      <c r="T1493" t="s">
        <v>4156</v>
      </c>
      <c r="U1493" t="s">
        <v>4168</v>
      </c>
      <c r="V1493" t="s">
        <v>199</v>
      </c>
      <c r="W1493">
        <v>1011.93</v>
      </c>
      <c r="X1493" t="s">
        <v>4196</v>
      </c>
      <c r="Y1493" t="s">
        <v>4198</v>
      </c>
      <c r="Z1493" t="s">
        <v>5456</v>
      </c>
      <c r="AB1493" t="s">
        <v>6749</v>
      </c>
      <c r="AC1493">
        <v>259</v>
      </c>
      <c r="AD1493" t="s">
        <v>6772</v>
      </c>
      <c r="AE1493" t="s">
        <v>3526</v>
      </c>
      <c r="AF1493">
        <v>12</v>
      </c>
      <c r="AG1493">
        <v>1</v>
      </c>
      <c r="AH1493">
        <v>0</v>
      </c>
      <c r="AI1493">
        <v>608.49</v>
      </c>
      <c r="AL1493" t="s">
        <v>6801</v>
      </c>
      <c r="AM1493">
        <v>76000</v>
      </c>
    </row>
    <row r="1494" spans="1:42">
      <c r="A1494" s="1">
        <f>HYPERLINK("https://lsnyc.legalserver.org/matter/dynamic-profile/view/1905984","19-1905984")</f>
        <v>0</v>
      </c>
      <c r="B1494" t="s">
        <v>58</v>
      </c>
      <c r="C1494" t="s">
        <v>285</v>
      </c>
      <c r="E1494" t="s">
        <v>891</v>
      </c>
      <c r="F1494" t="s">
        <v>587</v>
      </c>
      <c r="G1494" t="s">
        <v>2195</v>
      </c>
      <c r="H1494" t="s">
        <v>3474</v>
      </c>
      <c r="I1494" t="s">
        <v>3490</v>
      </c>
      <c r="J1494">
        <v>11233</v>
      </c>
      <c r="K1494" t="s">
        <v>3522</v>
      </c>
      <c r="L1494" t="s">
        <v>3525</v>
      </c>
      <c r="M1494" t="s">
        <v>3553</v>
      </c>
      <c r="N1494" t="s">
        <v>4112</v>
      </c>
      <c r="O1494" t="s">
        <v>4135</v>
      </c>
      <c r="Q1494" t="s">
        <v>4147</v>
      </c>
      <c r="R1494" t="s">
        <v>3522</v>
      </c>
      <c r="T1494" t="s">
        <v>4156</v>
      </c>
      <c r="U1494" t="s">
        <v>4168</v>
      </c>
      <c r="V1494" t="s">
        <v>285</v>
      </c>
      <c r="W1494">
        <v>1001.91</v>
      </c>
      <c r="X1494" t="s">
        <v>4193</v>
      </c>
      <c r="Y1494" t="s">
        <v>4198</v>
      </c>
      <c r="Z1494" t="s">
        <v>5457</v>
      </c>
      <c r="AA1494" t="s">
        <v>3562</v>
      </c>
      <c r="AC1494">
        <v>359</v>
      </c>
      <c r="AD1494" t="s">
        <v>6772</v>
      </c>
      <c r="AE1494" t="s">
        <v>3526</v>
      </c>
      <c r="AF1494">
        <v>40</v>
      </c>
      <c r="AG1494">
        <v>2</v>
      </c>
      <c r="AH1494">
        <v>0</v>
      </c>
      <c r="AI1494">
        <v>620.9299999999999</v>
      </c>
      <c r="AK1494" t="s">
        <v>6799</v>
      </c>
      <c r="AL1494" t="s">
        <v>6801</v>
      </c>
      <c r="AM1494">
        <v>105000</v>
      </c>
      <c r="AN1494" t="s">
        <v>6910</v>
      </c>
    </row>
    <row r="1495" spans="1:42">
      <c r="A1495" s="1">
        <f>HYPERLINK("https://lsnyc.legalserver.org/matter/dynamic-profile/view/1916406","19-1916406")</f>
        <v>0</v>
      </c>
      <c r="B1495" t="s">
        <v>52</v>
      </c>
      <c r="C1495" t="s">
        <v>223</v>
      </c>
      <c r="E1495" t="s">
        <v>1246</v>
      </c>
      <c r="F1495" t="s">
        <v>2145</v>
      </c>
      <c r="G1495" t="s">
        <v>2640</v>
      </c>
      <c r="H1495" t="s">
        <v>3246</v>
      </c>
      <c r="I1495" t="s">
        <v>3490</v>
      </c>
      <c r="J1495">
        <v>11220</v>
      </c>
      <c r="K1495" t="s">
        <v>3522</v>
      </c>
      <c r="L1495" t="s">
        <v>3525</v>
      </c>
      <c r="N1495" t="s">
        <v>4115</v>
      </c>
      <c r="O1495" t="s">
        <v>4134</v>
      </c>
      <c r="Q1495" t="s">
        <v>4147</v>
      </c>
      <c r="R1495" t="s">
        <v>3522</v>
      </c>
      <c r="T1495" t="s">
        <v>4156</v>
      </c>
      <c r="V1495" t="s">
        <v>208</v>
      </c>
      <c r="W1495">
        <v>1432.55</v>
      </c>
      <c r="X1495" t="s">
        <v>4193</v>
      </c>
      <c r="Z1495" t="s">
        <v>5458</v>
      </c>
      <c r="AB1495" t="s">
        <v>6750</v>
      </c>
      <c r="AC1495">
        <v>54</v>
      </c>
      <c r="AD1495" t="s">
        <v>6772</v>
      </c>
      <c r="AF1495">
        <v>40</v>
      </c>
      <c r="AG1495">
        <v>3</v>
      </c>
      <c r="AH1495">
        <v>0</v>
      </c>
      <c r="AI1495">
        <v>625.9299999999999</v>
      </c>
      <c r="AL1495" t="s">
        <v>6801</v>
      </c>
      <c r="AM1495">
        <v>133510</v>
      </c>
    </row>
    <row r="1496" spans="1:42">
      <c r="A1496" s="1">
        <f>HYPERLINK("https://lsnyc.legalserver.org/matter/dynamic-profile/view/1909425","19-1909425")</f>
        <v>0</v>
      </c>
      <c r="B1496" t="s">
        <v>66</v>
      </c>
      <c r="C1496" t="s">
        <v>247</v>
      </c>
      <c r="E1496" t="s">
        <v>1247</v>
      </c>
      <c r="F1496" t="s">
        <v>2146</v>
      </c>
      <c r="G1496" t="s">
        <v>2870</v>
      </c>
      <c r="H1496" t="s">
        <v>3237</v>
      </c>
      <c r="I1496" t="s">
        <v>3490</v>
      </c>
      <c r="J1496">
        <v>11219</v>
      </c>
      <c r="K1496" t="s">
        <v>3522</v>
      </c>
      <c r="L1496" t="s">
        <v>3525</v>
      </c>
      <c r="O1496" t="s">
        <v>4133</v>
      </c>
      <c r="Q1496" t="s">
        <v>4147</v>
      </c>
      <c r="R1496" t="s">
        <v>3522</v>
      </c>
      <c r="T1496" t="s">
        <v>4156</v>
      </c>
      <c r="V1496" t="s">
        <v>247</v>
      </c>
      <c r="W1496">
        <v>0</v>
      </c>
      <c r="X1496" t="s">
        <v>4193</v>
      </c>
      <c r="Z1496" t="s">
        <v>5459</v>
      </c>
      <c r="AB1496" t="s">
        <v>6751</v>
      </c>
      <c r="AC1496">
        <v>20</v>
      </c>
      <c r="AF1496">
        <v>0</v>
      </c>
      <c r="AG1496">
        <v>2</v>
      </c>
      <c r="AH1496">
        <v>0</v>
      </c>
      <c r="AI1496">
        <v>626.85</v>
      </c>
      <c r="AL1496" t="s">
        <v>6820</v>
      </c>
      <c r="AM1496">
        <v>106000</v>
      </c>
    </row>
    <row r="1497" spans="1:42">
      <c r="A1497" s="1">
        <f>HYPERLINK("https://lsnyc.legalserver.org/matter/dynamic-profile/view/1909501","19-1909501")</f>
        <v>0</v>
      </c>
      <c r="B1497" t="s">
        <v>93</v>
      </c>
      <c r="C1497" t="s">
        <v>184</v>
      </c>
      <c r="E1497" t="s">
        <v>1248</v>
      </c>
      <c r="F1497" t="s">
        <v>2147</v>
      </c>
      <c r="G1497" t="s">
        <v>2502</v>
      </c>
      <c r="H1497" t="s">
        <v>3236</v>
      </c>
      <c r="I1497" t="s">
        <v>3495</v>
      </c>
      <c r="J1497">
        <v>10040</v>
      </c>
      <c r="K1497" t="s">
        <v>3522</v>
      </c>
      <c r="L1497" t="s">
        <v>3525</v>
      </c>
      <c r="N1497" t="s">
        <v>4108</v>
      </c>
      <c r="O1497" t="s">
        <v>4136</v>
      </c>
      <c r="Q1497" t="s">
        <v>4147</v>
      </c>
      <c r="R1497" t="s">
        <v>3522</v>
      </c>
      <c r="T1497" t="s">
        <v>4156</v>
      </c>
      <c r="V1497" t="s">
        <v>184</v>
      </c>
      <c r="W1497">
        <v>1738.34</v>
      </c>
      <c r="X1497" t="s">
        <v>4196</v>
      </c>
      <c r="Y1497" t="s">
        <v>4205</v>
      </c>
      <c r="Z1497" t="s">
        <v>4341</v>
      </c>
      <c r="AB1497" t="s">
        <v>6752</v>
      </c>
      <c r="AC1497">
        <v>77</v>
      </c>
      <c r="AD1497" t="s">
        <v>6772</v>
      </c>
      <c r="AE1497" t="s">
        <v>3526</v>
      </c>
      <c r="AF1497">
        <v>5</v>
      </c>
      <c r="AG1497">
        <v>2</v>
      </c>
      <c r="AH1497">
        <v>0</v>
      </c>
      <c r="AI1497">
        <v>626.85</v>
      </c>
      <c r="AL1497" t="s">
        <v>6801</v>
      </c>
      <c r="AM1497">
        <v>106000</v>
      </c>
    </row>
    <row r="1498" spans="1:42">
      <c r="A1498" s="1">
        <f>HYPERLINK("https://lsnyc.legalserver.org/matter/dynamic-profile/view/1914079","19-1914079")</f>
        <v>0</v>
      </c>
      <c r="B1498" t="s">
        <v>91</v>
      </c>
      <c r="C1498" t="s">
        <v>191</v>
      </c>
      <c r="E1498" t="s">
        <v>582</v>
      </c>
      <c r="F1498" t="s">
        <v>2148</v>
      </c>
      <c r="G1498" t="s">
        <v>2251</v>
      </c>
      <c r="H1498" t="s">
        <v>3272</v>
      </c>
      <c r="I1498" t="s">
        <v>3495</v>
      </c>
      <c r="J1498">
        <v>10035</v>
      </c>
      <c r="K1498" t="s">
        <v>3522</v>
      </c>
      <c r="L1498" t="s">
        <v>3525</v>
      </c>
      <c r="N1498" t="s">
        <v>3554</v>
      </c>
      <c r="O1498" t="s">
        <v>4133</v>
      </c>
      <c r="Q1498" t="s">
        <v>4147</v>
      </c>
      <c r="R1498" t="s">
        <v>3522</v>
      </c>
      <c r="T1498" t="s">
        <v>4156</v>
      </c>
      <c r="U1498" t="s">
        <v>4168</v>
      </c>
      <c r="V1498" t="s">
        <v>263</v>
      </c>
      <c r="W1498">
        <v>2025</v>
      </c>
      <c r="X1498" t="s">
        <v>4196</v>
      </c>
      <c r="Y1498" t="s">
        <v>4198</v>
      </c>
      <c r="Z1498" t="s">
        <v>5460</v>
      </c>
      <c r="AB1498" t="s">
        <v>6753</v>
      </c>
      <c r="AC1498">
        <v>33</v>
      </c>
      <c r="AD1498" t="s">
        <v>6772</v>
      </c>
      <c r="AE1498" t="s">
        <v>3526</v>
      </c>
      <c r="AF1498">
        <v>5</v>
      </c>
      <c r="AG1498">
        <v>2</v>
      </c>
      <c r="AH1498">
        <v>0</v>
      </c>
      <c r="AI1498">
        <v>626.85</v>
      </c>
      <c r="AL1498" t="s">
        <v>6801</v>
      </c>
      <c r="AM1498">
        <v>106000</v>
      </c>
    </row>
    <row r="1499" spans="1:42">
      <c r="A1499" s="1">
        <f>HYPERLINK("https://lsnyc.legalserver.org/matter/dynamic-profile/view/1914166","19-1914166")</f>
        <v>0</v>
      </c>
      <c r="B1499" t="s">
        <v>91</v>
      </c>
      <c r="C1499" t="s">
        <v>191</v>
      </c>
      <c r="E1499" t="s">
        <v>402</v>
      </c>
      <c r="F1499" t="s">
        <v>2141</v>
      </c>
      <c r="G1499" t="s">
        <v>2249</v>
      </c>
      <c r="H1499" t="s">
        <v>3241</v>
      </c>
      <c r="I1499" t="s">
        <v>3495</v>
      </c>
      <c r="J1499">
        <v>10037</v>
      </c>
      <c r="K1499" t="s">
        <v>3522</v>
      </c>
      <c r="L1499" t="s">
        <v>3525</v>
      </c>
      <c r="N1499" t="s">
        <v>4108</v>
      </c>
      <c r="O1499" t="s">
        <v>4136</v>
      </c>
      <c r="Q1499" t="s">
        <v>4147</v>
      </c>
      <c r="R1499" t="s">
        <v>3522</v>
      </c>
      <c r="T1499" t="s">
        <v>4156</v>
      </c>
      <c r="U1499" t="s">
        <v>4168</v>
      </c>
      <c r="V1499" t="s">
        <v>199</v>
      </c>
      <c r="W1499">
        <v>2198</v>
      </c>
      <c r="X1499" t="s">
        <v>4196</v>
      </c>
      <c r="Y1499" t="s">
        <v>4198</v>
      </c>
      <c r="Z1499" t="s">
        <v>5461</v>
      </c>
      <c r="AB1499" t="s">
        <v>6754</v>
      </c>
      <c r="AC1499">
        <v>259</v>
      </c>
      <c r="AD1499" t="s">
        <v>6772</v>
      </c>
      <c r="AE1499" t="s">
        <v>3526</v>
      </c>
      <c r="AF1499">
        <v>2</v>
      </c>
      <c r="AG1499">
        <v>2</v>
      </c>
      <c r="AH1499">
        <v>1</v>
      </c>
      <c r="AI1499">
        <v>632.91</v>
      </c>
      <c r="AL1499" t="s">
        <v>6801</v>
      </c>
      <c r="AM1499">
        <v>135000</v>
      </c>
    </row>
    <row r="1500" spans="1:42">
      <c r="A1500" s="1">
        <f>HYPERLINK("https://lsnyc.legalserver.org/matter/dynamic-profile/view/1916800","19-1916800")</f>
        <v>0</v>
      </c>
      <c r="B1500" t="s">
        <v>91</v>
      </c>
      <c r="C1500" t="s">
        <v>195</v>
      </c>
      <c r="E1500" t="s">
        <v>1054</v>
      </c>
      <c r="F1500" t="s">
        <v>2149</v>
      </c>
      <c r="G1500" t="s">
        <v>2250</v>
      </c>
      <c r="H1500" t="s">
        <v>3252</v>
      </c>
      <c r="I1500" t="s">
        <v>3495</v>
      </c>
      <c r="J1500">
        <v>10035</v>
      </c>
      <c r="K1500" t="s">
        <v>3522</v>
      </c>
      <c r="L1500" t="s">
        <v>3525</v>
      </c>
      <c r="N1500" t="s">
        <v>3554</v>
      </c>
      <c r="O1500" t="s">
        <v>4135</v>
      </c>
      <c r="Q1500" t="s">
        <v>4147</v>
      </c>
      <c r="R1500" t="s">
        <v>3522</v>
      </c>
      <c r="T1500" t="s">
        <v>4156</v>
      </c>
      <c r="U1500" t="s">
        <v>4168</v>
      </c>
      <c r="V1500" t="s">
        <v>195</v>
      </c>
      <c r="W1500">
        <v>1975</v>
      </c>
      <c r="X1500" t="s">
        <v>4196</v>
      </c>
      <c r="Y1500" t="s">
        <v>4198</v>
      </c>
      <c r="Z1500" t="s">
        <v>5462</v>
      </c>
      <c r="AB1500" t="s">
        <v>6755</v>
      </c>
      <c r="AC1500">
        <v>35</v>
      </c>
      <c r="AD1500" t="s">
        <v>6772</v>
      </c>
      <c r="AE1500" t="s">
        <v>3526</v>
      </c>
      <c r="AF1500">
        <v>1</v>
      </c>
      <c r="AG1500">
        <v>2</v>
      </c>
      <c r="AH1500">
        <v>0</v>
      </c>
      <c r="AI1500">
        <v>642.22</v>
      </c>
      <c r="AL1500" t="s">
        <v>6801</v>
      </c>
      <c r="AM1500">
        <v>108600</v>
      </c>
    </row>
    <row r="1501" spans="1:42">
      <c r="A1501" s="1">
        <f>HYPERLINK("https://lsnyc.legalserver.org/matter/dynamic-profile/view/1907714","19-1907714")</f>
        <v>0</v>
      </c>
      <c r="B1501" t="s">
        <v>47</v>
      </c>
      <c r="C1501" t="s">
        <v>284</v>
      </c>
      <c r="E1501" t="s">
        <v>1249</v>
      </c>
      <c r="F1501" t="s">
        <v>2150</v>
      </c>
      <c r="G1501" t="s">
        <v>3017</v>
      </c>
      <c r="H1501" t="s">
        <v>3156</v>
      </c>
      <c r="I1501" t="s">
        <v>3486</v>
      </c>
      <c r="J1501">
        <v>11377</v>
      </c>
      <c r="K1501" t="s">
        <v>3522</v>
      </c>
      <c r="L1501" t="s">
        <v>3525</v>
      </c>
      <c r="M1501" t="s">
        <v>4046</v>
      </c>
      <c r="N1501" t="s">
        <v>4110</v>
      </c>
      <c r="O1501" t="s">
        <v>4137</v>
      </c>
      <c r="Q1501" t="s">
        <v>4147</v>
      </c>
      <c r="R1501" t="s">
        <v>3522</v>
      </c>
      <c r="T1501" t="s">
        <v>4156</v>
      </c>
      <c r="U1501" t="s">
        <v>4168</v>
      </c>
      <c r="V1501" t="s">
        <v>284</v>
      </c>
      <c r="W1501">
        <v>2000</v>
      </c>
      <c r="X1501" t="s">
        <v>4192</v>
      </c>
      <c r="Y1501" t="s">
        <v>4206</v>
      </c>
      <c r="Z1501" t="s">
        <v>5463</v>
      </c>
      <c r="AB1501" t="s">
        <v>6756</v>
      </c>
      <c r="AC1501">
        <v>390</v>
      </c>
      <c r="AD1501" t="s">
        <v>6772</v>
      </c>
      <c r="AE1501" t="s">
        <v>4200</v>
      </c>
      <c r="AF1501">
        <v>-1</v>
      </c>
      <c r="AG1501">
        <v>2</v>
      </c>
      <c r="AH1501">
        <v>0</v>
      </c>
      <c r="AI1501">
        <v>650.5</v>
      </c>
      <c r="AL1501" t="s">
        <v>6801</v>
      </c>
      <c r="AM1501">
        <v>110000</v>
      </c>
      <c r="AP1501" t="s">
        <v>4200</v>
      </c>
    </row>
    <row r="1502" spans="1:42">
      <c r="A1502" s="1">
        <f>HYPERLINK("https://lsnyc.legalserver.org/matter/dynamic-profile/view/1910421","19-1910421")</f>
        <v>0</v>
      </c>
      <c r="B1502" t="s">
        <v>64</v>
      </c>
      <c r="C1502" t="s">
        <v>214</v>
      </c>
      <c r="E1502" t="s">
        <v>1073</v>
      </c>
      <c r="F1502" t="s">
        <v>1317</v>
      </c>
      <c r="G1502" t="s">
        <v>3108</v>
      </c>
      <c r="H1502" t="s">
        <v>3221</v>
      </c>
      <c r="I1502" t="s">
        <v>3490</v>
      </c>
      <c r="J1502">
        <v>11225</v>
      </c>
      <c r="K1502" t="s">
        <v>3522</v>
      </c>
      <c r="L1502" t="s">
        <v>3525</v>
      </c>
      <c r="O1502" t="s">
        <v>4137</v>
      </c>
      <c r="Q1502" t="s">
        <v>4147</v>
      </c>
      <c r="R1502" t="s">
        <v>3522</v>
      </c>
      <c r="T1502" t="s">
        <v>4156</v>
      </c>
      <c r="V1502" t="s">
        <v>230</v>
      </c>
      <c r="W1502">
        <v>0</v>
      </c>
      <c r="X1502" t="s">
        <v>4193</v>
      </c>
      <c r="Z1502" t="s">
        <v>5464</v>
      </c>
      <c r="AB1502" t="s">
        <v>6757</v>
      </c>
      <c r="AC1502">
        <v>14</v>
      </c>
      <c r="AF1502">
        <v>0</v>
      </c>
      <c r="AG1502">
        <v>2</v>
      </c>
      <c r="AH1502">
        <v>0</v>
      </c>
      <c r="AI1502">
        <v>656.42</v>
      </c>
      <c r="AL1502" t="s">
        <v>6801</v>
      </c>
      <c r="AM1502">
        <v>111000</v>
      </c>
    </row>
    <row r="1503" spans="1:42">
      <c r="A1503" s="1">
        <f>HYPERLINK("https://lsnyc.legalserver.org/matter/dynamic-profile/view/1911067","19-1911067")</f>
        <v>0</v>
      </c>
      <c r="B1503" t="s">
        <v>64</v>
      </c>
      <c r="C1503" t="s">
        <v>270</v>
      </c>
      <c r="E1503" t="s">
        <v>1073</v>
      </c>
      <c r="F1503" t="s">
        <v>1317</v>
      </c>
      <c r="G1503" t="s">
        <v>3108</v>
      </c>
      <c r="H1503" t="s">
        <v>3221</v>
      </c>
      <c r="I1503" t="s">
        <v>3490</v>
      </c>
      <c r="J1503">
        <v>11225</v>
      </c>
      <c r="K1503" t="s">
        <v>3522</v>
      </c>
      <c r="L1503" t="s">
        <v>3525</v>
      </c>
      <c r="O1503" t="s">
        <v>4137</v>
      </c>
      <c r="Q1503" t="s">
        <v>4147</v>
      </c>
      <c r="R1503" t="s">
        <v>3522</v>
      </c>
      <c r="T1503" t="s">
        <v>4156</v>
      </c>
      <c r="V1503" t="s">
        <v>198</v>
      </c>
      <c r="W1503">
        <v>0</v>
      </c>
      <c r="X1503" t="s">
        <v>4193</v>
      </c>
      <c r="Z1503" t="s">
        <v>5464</v>
      </c>
      <c r="AB1503" t="s">
        <v>6757</v>
      </c>
      <c r="AC1503">
        <v>14</v>
      </c>
      <c r="AF1503">
        <v>0</v>
      </c>
      <c r="AG1503">
        <v>2</v>
      </c>
      <c r="AH1503">
        <v>0</v>
      </c>
      <c r="AI1503">
        <v>656.42</v>
      </c>
      <c r="AL1503" t="s">
        <v>6801</v>
      </c>
      <c r="AM1503">
        <v>111000</v>
      </c>
    </row>
    <row r="1504" spans="1:42">
      <c r="A1504" s="1">
        <f>HYPERLINK("https://lsnyc.legalserver.org/matter/dynamic-profile/view/1916893","19-1916893")</f>
        <v>0</v>
      </c>
      <c r="B1504" t="s">
        <v>87</v>
      </c>
      <c r="C1504" t="s">
        <v>189</v>
      </c>
      <c r="E1504" t="s">
        <v>1250</v>
      </c>
      <c r="F1504" t="s">
        <v>2151</v>
      </c>
      <c r="G1504" t="s">
        <v>3117</v>
      </c>
      <c r="H1504" t="s">
        <v>3331</v>
      </c>
      <c r="I1504" t="s">
        <v>3495</v>
      </c>
      <c r="J1504">
        <v>10033</v>
      </c>
      <c r="K1504" t="s">
        <v>3522</v>
      </c>
      <c r="L1504" t="s">
        <v>3525</v>
      </c>
      <c r="O1504" t="s">
        <v>4136</v>
      </c>
      <c r="Q1504" t="s">
        <v>4147</v>
      </c>
      <c r="R1504" t="s">
        <v>3523</v>
      </c>
      <c r="T1504" t="s">
        <v>4156</v>
      </c>
      <c r="V1504" t="s">
        <v>189</v>
      </c>
      <c r="W1504">
        <v>2775</v>
      </c>
      <c r="X1504" t="s">
        <v>4196</v>
      </c>
      <c r="Y1504" t="s">
        <v>4205</v>
      </c>
      <c r="Z1504" t="s">
        <v>5465</v>
      </c>
      <c r="AB1504" t="s">
        <v>6758</v>
      </c>
      <c r="AC1504">
        <v>60</v>
      </c>
      <c r="AD1504" t="s">
        <v>6772</v>
      </c>
      <c r="AE1504" t="s">
        <v>3526</v>
      </c>
      <c r="AF1504">
        <v>4</v>
      </c>
      <c r="AG1504">
        <v>2</v>
      </c>
      <c r="AH1504">
        <v>1</v>
      </c>
      <c r="AI1504">
        <v>679.79</v>
      </c>
      <c r="AL1504" t="s">
        <v>6801</v>
      </c>
      <c r="AM1504">
        <v>145000</v>
      </c>
    </row>
    <row r="1505" spans="1:40">
      <c r="A1505" s="1">
        <f>HYPERLINK("https://lsnyc.legalserver.org/matter/dynamic-profile/view/1904892","19-1904892")</f>
        <v>0</v>
      </c>
      <c r="B1505" t="s">
        <v>86</v>
      </c>
      <c r="C1505" t="s">
        <v>272</v>
      </c>
      <c r="D1505" t="s">
        <v>228</v>
      </c>
      <c r="E1505" t="s">
        <v>1251</v>
      </c>
      <c r="F1505" t="s">
        <v>2152</v>
      </c>
      <c r="G1505" t="s">
        <v>3118</v>
      </c>
      <c r="H1505" t="s">
        <v>3201</v>
      </c>
      <c r="I1505" t="s">
        <v>3495</v>
      </c>
      <c r="J1505">
        <v>10033</v>
      </c>
      <c r="K1505" t="s">
        <v>3522</v>
      </c>
      <c r="L1505" t="s">
        <v>3525</v>
      </c>
      <c r="N1505" t="s">
        <v>4113</v>
      </c>
      <c r="O1505" t="s">
        <v>4132</v>
      </c>
      <c r="P1505" t="s">
        <v>4139</v>
      </c>
      <c r="Q1505" t="s">
        <v>4147</v>
      </c>
      <c r="R1505" t="s">
        <v>3523</v>
      </c>
      <c r="T1505" t="s">
        <v>4156</v>
      </c>
      <c r="V1505" t="s">
        <v>272</v>
      </c>
      <c r="W1505">
        <v>2100</v>
      </c>
      <c r="X1505" t="s">
        <v>4196</v>
      </c>
      <c r="Y1505" t="s">
        <v>4205</v>
      </c>
      <c r="Z1505" t="s">
        <v>5466</v>
      </c>
      <c r="AB1505" t="s">
        <v>6759</v>
      </c>
      <c r="AC1505">
        <v>95</v>
      </c>
      <c r="AD1505" t="s">
        <v>6772</v>
      </c>
      <c r="AE1505" t="s">
        <v>3526</v>
      </c>
      <c r="AF1505">
        <v>2</v>
      </c>
      <c r="AG1505">
        <v>2</v>
      </c>
      <c r="AH1505">
        <v>0</v>
      </c>
      <c r="AI1505">
        <v>709.64</v>
      </c>
      <c r="AL1505" t="s">
        <v>6801</v>
      </c>
      <c r="AM1505">
        <v>120000</v>
      </c>
    </row>
    <row r="1506" spans="1:40">
      <c r="A1506" s="1">
        <f>HYPERLINK("https://lsnyc.legalserver.org/matter/dynamic-profile/view/1914226","19-1914226")</f>
        <v>0</v>
      </c>
      <c r="B1506" t="s">
        <v>91</v>
      </c>
      <c r="C1506" t="s">
        <v>245</v>
      </c>
      <c r="E1506" t="s">
        <v>1252</v>
      </c>
      <c r="F1506" t="s">
        <v>2153</v>
      </c>
      <c r="G1506" t="s">
        <v>2249</v>
      </c>
      <c r="H1506" t="s">
        <v>3475</v>
      </c>
      <c r="I1506" t="s">
        <v>3495</v>
      </c>
      <c r="J1506">
        <v>10037</v>
      </c>
      <c r="K1506" t="s">
        <v>3522</v>
      </c>
      <c r="L1506" t="s">
        <v>3525</v>
      </c>
      <c r="N1506" t="s">
        <v>4108</v>
      </c>
      <c r="O1506" t="s">
        <v>4136</v>
      </c>
      <c r="Q1506" t="s">
        <v>4147</v>
      </c>
      <c r="R1506" t="s">
        <v>3522</v>
      </c>
      <c r="T1506" t="s">
        <v>4156</v>
      </c>
      <c r="U1506" t="s">
        <v>4168</v>
      </c>
      <c r="V1506" t="s">
        <v>199</v>
      </c>
      <c r="W1506">
        <v>1826</v>
      </c>
      <c r="X1506" t="s">
        <v>4196</v>
      </c>
      <c r="Y1506" t="s">
        <v>4198</v>
      </c>
      <c r="Z1506" t="s">
        <v>5467</v>
      </c>
      <c r="AB1506" t="s">
        <v>6760</v>
      </c>
      <c r="AC1506">
        <v>259</v>
      </c>
      <c r="AD1506" t="s">
        <v>6772</v>
      </c>
      <c r="AF1506">
        <v>2</v>
      </c>
      <c r="AG1506">
        <v>1</v>
      </c>
      <c r="AH1506">
        <v>0</v>
      </c>
      <c r="AI1506">
        <v>720.58</v>
      </c>
      <c r="AL1506" t="s">
        <v>6801</v>
      </c>
      <c r="AM1506">
        <v>90000</v>
      </c>
    </row>
    <row r="1507" spans="1:40">
      <c r="A1507" s="1">
        <f>HYPERLINK("https://lsnyc.legalserver.org/matter/dynamic-profile/view/1916745","19-1916745")</f>
        <v>0</v>
      </c>
      <c r="B1507" t="s">
        <v>89</v>
      </c>
      <c r="C1507" t="s">
        <v>195</v>
      </c>
      <c r="E1507" t="s">
        <v>856</v>
      </c>
      <c r="F1507" t="s">
        <v>2154</v>
      </c>
      <c r="G1507" t="s">
        <v>3119</v>
      </c>
      <c r="H1507">
        <v>3</v>
      </c>
      <c r="I1507" t="s">
        <v>3495</v>
      </c>
      <c r="J1507">
        <v>10033</v>
      </c>
      <c r="K1507" t="s">
        <v>3522</v>
      </c>
      <c r="L1507" t="s">
        <v>3525</v>
      </c>
      <c r="O1507" t="s">
        <v>4136</v>
      </c>
      <c r="Q1507" t="s">
        <v>4147</v>
      </c>
      <c r="R1507" t="s">
        <v>3523</v>
      </c>
      <c r="T1507" t="s">
        <v>4156</v>
      </c>
      <c r="V1507" t="s">
        <v>195</v>
      </c>
      <c r="W1507">
        <v>2400</v>
      </c>
      <c r="X1507" t="s">
        <v>4196</v>
      </c>
      <c r="Y1507" t="s">
        <v>4198</v>
      </c>
      <c r="Z1507" t="s">
        <v>5468</v>
      </c>
      <c r="AC1507">
        <v>30</v>
      </c>
      <c r="AD1507" t="s">
        <v>6772</v>
      </c>
      <c r="AE1507" t="s">
        <v>3526</v>
      </c>
      <c r="AF1507">
        <v>15</v>
      </c>
      <c r="AG1507">
        <v>2</v>
      </c>
      <c r="AH1507">
        <v>0</v>
      </c>
      <c r="AI1507">
        <v>739.21</v>
      </c>
      <c r="AL1507" t="s">
        <v>6801</v>
      </c>
      <c r="AM1507">
        <v>125000</v>
      </c>
    </row>
    <row r="1508" spans="1:40">
      <c r="A1508" s="1">
        <f>HYPERLINK("https://lsnyc.legalserver.org/matter/dynamic-profile/view/1911660","19-1911660")</f>
        <v>0</v>
      </c>
      <c r="B1508" t="s">
        <v>159</v>
      </c>
      <c r="C1508" t="s">
        <v>291</v>
      </c>
      <c r="D1508" t="s">
        <v>220</v>
      </c>
      <c r="E1508" t="s">
        <v>1253</v>
      </c>
      <c r="F1508" t="s">
        <v>2155</v>
      </c>
      <c r="G1508" t="s">
        <v>3120</v>
      </c>
      <c r="H1508" t="s">
        <v>3148</v>
      </c>
      <c r="I1508" t="s">
        <v>3495</v>
      </c>
      <c r="J1508">
        <v>10040</v>
      </c>
      <c r="K1508" t="s">
        <v>3522</v>
      </c>
      <c r="L1508" t="s">
        <v>3525</v>
      </c>
      <c r="N1508" t="s">
        <v>4113</v>
      </c>
      <c r="O1508" t="s">
        <v>4132</v>
      </c>
      <c r="P1508" t="s">
        <v>4139</v>
      </c>
      <c r="Q1508" t="s">
        <v>4147</v>
      </c>
      <c r="R1508" t="s">
        <v>3523</v>
      </c>
      <c r="T1508" t="s">
        <v>4156</v>
      </c>
      <c r="V1508" t="s">
        <v>291</v>
      </c>
      <c r="W1508">
        <v>1850</v>
      </c>
      <c r="X1508" t="s">
        <v>4196</v>
      </c>
      <c r="Y1508" t="s">
        <v>4207</v>
      </c>
      <c r="Z1508" t="s">
        <v>5469</v>
      </c>
      <c r="AB1508" t="s">
        <v>6761</v>
      </c>
      <c r="AC1508">
        <v>33</v>
      </c>
      <c r="AD1508" t="s">
        <v>6771</v>
      </c>
      <c r="AE1508" t="s">
        <v>3526</v>
      </c>
      <c r="AF1508">
        <v>4</v>
      </c>
      <c r="AG1508">
        <v>2</v>
      </c>
      <c r="AH1508">
        <v>0</v>
      </c>
      <c r="AI1508">
        <v>751.03</v>
      </c>
      <c r="AL1508" t="s">
        <v>6801</v>
      </c>
      <c r="AM1508">
        <v>127000</v>
      </c>
    </row>
    <row r="1509" spans="1:40">
      <c r="A1509" s="1">
        <f>HYPERLINK("https://lsnyc.legalserver.org/matter/dynamic-profile/view/1908229","19-1908229")</f>
        <v>0</v>
      </c>
      <c r="B1509" t="s">
        <v>59</v>
      </c>
      <c r="C1509" t="s">
        <v>373</v>
      </c>
      <c r="E1509" t="s">
        <v>1254</v>
      </c>
      <c r="F1509" t="s">
        <v>2156</v>
      </c>
      <c r="G1509" t="s">
        <v>3020</v>
      </c>
      <c r="H1509" t="s">
        <v>3476</v>
      </c>
      <c r="I1509" t="s">
        <v>3490</v>
      </c>
      <c r="J1509">
        <v>11216</v>
      </c>
      <c r="K1509" t="s">
        <v>3522</v>
      </c>
      <c r="L1509" t="s">
        <v>3525</v>
      </c>
      <c r="M1509" t="s">
        <v>4053</v>
      </c>
      <c r="N1509" t="s">
        <v>4115</v>
      </c>
      <c r="O1509" t="s">
        <v>4134</v>
      </c>
      <c r="Q1509" t="s">
        <v>4147</v>
      </c>
      <c r="R1509" t="s">
        <v>3522</v>
      </c>
      <c r="T1509" t="s">
        <v>4156</v>
      </c>
      <c r="U1509" t="s">
        <v>4168</v>
      </c>
      <c r="V1509" t="s">
        <v>201</v>
      </c>
      <c r="W1509">
        <v>1624.29</v>
      </c>
      <c r="X1509" t="s">
        <v>4193</v>
      </c>
      <c r="Y1509" t="s">
        <v>4198</v>
      </c>
      <c r="Z1509" t="s">
        <v>5470</v>
      </c>
      <c r="AA1509" t="s">
        <v>3562</v>
      </c>
      <c r="AB1509" t="s">
        <v>6762</v>
      </c>
      <c r="AC1509">
        <v>82</v>
      </c>
      <c r="AD1509" t="s">
        <v>6772</v>
      </c>
      <c r="AE1509" t="s">
        <v>3526</v>
      </c>
      <c r="AF1509">
        <v>-1</v>
      </c>
      <c r="AG1509">
        <v>1</v>
      </c>
      <c r="AH1509">
        <v>0</v>
      </c>
      <c r="AI1509">
        <v>780.62</v>
      </c>
      <c r="AL1509" t="s">
        <v>6801</v>
      </c>
      <c r="AM1509">
        <v>97500</v>
      </c>
    </row>
    <row r="1510" spans="1:40">
      <c r="A1510" s="1">
        <f>HYPERLINK("https://lsnyc.legalserver.org/matter/dynamic-profile/view/1908228","19-1908228")</f>
        <v>0</v>
      </c>
      <c r="B1510" t="s">
        <v>59</v>
      </c>
      <c r="C1510" t="s">
        <v>373</v>
      </c>
      <c r="E1510" t="s">
        <v>1254</v>
      </c>
      <c r="F1510" t="s">
        <v>2156</v>
      </c>
      <c r="G1510" t="s">
        <v>3020</v>
      </c>
      <c r="H1510" t="s">
        <v>3476</v>
      </c>
      <c r="I1510" t="s">
        <v>3490</v>
      </c>
      <c r="J1510">
        <v>11216</v>
      </c>
      <c r="K1510" t="s">
        <v>3522</v>
      </c>
      <c r="L1510" t="s">
        <v>3525</v>
      </c>
      <c r="M1510" t="s">
        <v>3526</v>
      </c>
      <c r="N1510" t="s">
        <v>4112</v>
      </c>
      <c r="O1510" t="s">
        <v>4135</v>
      </c>
      <c r="Q1510" t="s">
        <v>4147</v>
      </c>
      <c r="R1510" t="s">
        <v>3522</v>
      </c>
      <c r="T1510" t="s">
        <v>4156</v>
      </c>
      <c r="U1510" t="s">
        <v>4168</v>
      </c>
      <c r="V1510" t="s">
        <v>279</v>
      </c>
      <c r="W1510">
        <v>1624.29</v>
      </c>
      <c r="X1510" t="s">
        <v>4193</v>
      </c>
      <c r="Y1510" t="s">
        <v>4198</v>
      </c>
      <c r="Z1510" t="s">
        <v>5470</v>
      </c>
      <c r="AA1510" t="s">
        <v>3562</v>
      </c>
      <c r="AB1510" t="s">
        <v>6762</v>
      </c>
      <c r="AC1510">
        <v>82</v>
      </c>
      <c r="AD1510" t="s">
        <v>6772</v>
      </c>
      <c r="AE1510" t="s">
        <v>3526</v>
      </c>
      <c r="AF1510">
        <v>-1</v>
      </c>
      <c r="AG1510">
        <v>1</v>
      </c>
      <c r="AH1510">
        <v>0</v>
      </c>
      <c r="AI1510">
        <v>780.62</v>
      </c>
      <c r="AL1510" t="s">
        <v>6801</v>
      </c>
      <c r="AM1510">
        <v>97500</v>
      </c>
    </row>
    <row r="1511" spans="1:40">
      <c r="A1511" s="1">
        <f>HYPERLINK("https://lsnyc.legalserver.org/matter/dynamic-profile/view/1915781","19-1915781")</f>
        <v>0</v>
      </c>
      <c r="B1511" t="s">
        <v>91</v>
      </c>
      <c r="C1511" t="s">
        <v>248</v>
      </c>
      <c r="D1511" t="s">
        <v>242</v>
      </c>
      <c r="E1511" t="s">
        <v>1255</v>
      </c>
      <c r="F1511" t="s">
        <v>2157</v>
      </c>
      <c r="G1511" t="s">
        <v>2250</v>
      </c>
      <c r="H1511" t="s">
        <v>3300</v>
      </c>
      <c r="I1511" t="s">
        <v>3495</v>
      </c>
      <c r="J1511">
        <v>10035</v>
      </c>
      <c r="K1511" t="s">
        <v>3522</v>
      </c>
      <c r="L1511" t="s">
        <v>3525</v>
      </c>
      <c r="N1511" t="s">
        <v>3554</v>
      </c>
      <c r="O1511" t="s">
        <v>4135</v>
      </c>
      <c r="P1511" t="s">
        <v>4142</v>
      </c>
      <c r="Q1511" t="s">
        <v>4147</v>
      </c>
      <c r="T1511" t="s">
        <v>4156</v>
      </c>
      <c r="U1511" t="s">
        <v>4168</v>
      </c>
      <c r="V1511" t="s">
        <v>248</v>
      </c>
      <c r="W1511">
        <v>2250</v>
      </c>
      <c r="X1511" t="s">
        <v>4196</v>
      </c>
      <c r="Y1511" t="s">
        <v>4198</v>
      </c>
      <c r="Z1511" t="s">
        <v>5471</v>
      </c>
      <c r="AB1511" t="s">
        <v>6763</v>
      </c>
      <c r="AC1511">
        <v>30</v>
      </c>
      <c r="AD1511" t="s">
        <v>6772</v>
      </c>
      <c r="AE1511" t="s">
        <v>3526</v>
      </c>
      <c r="AF1511">
        <v>1</v>
      </c>
      <c r="AG1511">
        <v>1</v>
      </c>
      <c r="AH1511">
        <v>0</v>
      </c>
      <c r="AI1511">
        <v>784.63</v>
      </c>
      <c r="AL1511" t="s">
        <v>6801</v>
      </c>
      <c r="AM1511">
        <v>98000</v>
      </c>
    </row>
    <row r="1512" spans="1:40">
      <c r="A1512" s="1">
        <f>HYPERLINK("https://lsnyc.legalserver.org/matter/dynamic-profile/view/1916788","19-1916788")</f>
        <v>0</v>
      </c>
      <c r="B1512" t="s">
        <v>91</v>
      </c>
      <c r="C1512" t="s">
        <v>195</v>
      </c>
      <c r="E1512" t="s">
        <v>1255</v>
      </c>
      <c r="F1512" t="s">
        <v>2157</v>
      </c>
      <c r="G1512" t="s">
        <v>2250</v>
      </c>
      <c r="H1512" t="s">
        <v>3300</v>
      </c>
      <c r="I1512" t="s">
        <v>3495</v>
      </c>
      <c r="J1512">
        <v>10035</v>
      </c>
      <c r="K1512" t="s">
        <v>3522</v>
      </c>
      <c r="L1512" t="s">
        <v>3525</v>
      </c>
      <c r="N1512" t="s">
        <v>3554</v>
      </c>
      <c r="O1512" t="s">
        <v>4135</v>
      </c>
      <c r="Q1512" t="s">
        <v>4147</v>
      </c>
      <c r="T1512" t="s">
        <v>4156</v>
      </c>
      <c r="U1512" t="s">
        <v>4168</v>
      </c>
      <c r="V1512" t="s">
        <v>195</v>
      </c>
      <c r="W1512">
        <v>2250</v>
      </c>
      <c r="X1512" t="s">
        <v>4196</v>
      </c>
      <c r="Y1512" t="s">
        <v>4201</v>
      </c>
      <c r="Z1512" t="s">
        <v>5471</v>
      </c>
      <c r="AB1512" t="s">
        <v>6763</v>
      </c>
      <c r="AC1512">
        <v>30</v>
      </c>
      <c r="AD1512" t="s">
        <v>6772</v>
      </c>
      <c r="AE1512" t="s">
        <v>3526</v>
      </c>
      <c r="AF1512">
        <v>1</v>
      </c>
      <c r="AG1512">
        <v>1</v>
      </c>
      <c r="AH1512">
        <v>0</v>
      </c>
      <c r="AI1512">
        <v>784.63</v>
      </c>
      <c r="AL1512" t="s">
        <v>6801</v>
      </c>
      <c r="AM1512">
        <v>98000</v>
      </c>
    </row>
    <row r="1513" spans="1:40">
      <c r="A1513" s="1">
        <f>HYPERLINK("https://lsnyc.legalserver.org/matter/dynamic-profile/view/1914892","19-1914892")</f>
        <v>0</v>
      </c>
      <c r="B1513" t="s">
        <v>67</v>
      </c>
      <c r="C1513" t="s">
        <v>301</v>
      </c>
      <c r="E1513" t="s">
        <v>1256</v>
      </c>
      <c r="F1513" t="s">
        <v>2050</v>
      </c>
      <c r="G1513" t="s">
        <v>2212</v>
      </c>
      <c r="H1513">
        <v>31</v>
      </c>
      <c r="I1513" t="s">
        <v>3490</v>
      </c>
      <c r="J1513">
        <v>11213</v>
      </c>
      <c r="K1513" t="s">
        <v>3522</v>
      </c>
      <c r="L1513" t="s">
        <v>3525</v>
      </c>
      <c r="M1513" t="s">
        <v>3847</v>
      </c>
      <c r="N1513" t="s">
        <v>4115</v>
      </c>
      <c r="O1513" t="s">
        <v>4134</v>
      </c>
      <c r="Q1513" t="s">
        <v>4147</v>
      </c>
      <c r="R1513" t="s">
        <v>3522</v>
      </c>
      <c r="T1513" t="s">
        <v>4156</v>
      </c>
      <c r="U1513" t="s">
        <v>4168</v>
      </c>
      <c r="V1513" t="s">
        <v>314</v>
      </c>
      <c r="W1513">
        <v>944.38</v>
      </c>
      <c r="X1513" t="s">
        <v>4193</v>
      </c>
      <c r="Y1513" t="s">
        <v>4198</v>
      </c>
      <c r="Z1513" t="s">
        <v>5472</v>
      </c>
      <c r="AA1513" t="s">
        <v>3562</v>
      </c>
      <c r="AB1513" t="s">
        <v>6764</v>
      </c>
      <c r="AC1513">
        <v>31</v>
      </c>
      <c r="AD1513" t="s">
        <v>6772</v>
      </c>
      <c r="AE1513" t="s">
        <v>3526</v>
      </c>
      <c r="AF1513">
        <v>15</v>
      </c>
      <c r="AG1513">
        <v>2</v>
      </c>
      <c r="AH1513">
        <v>0</v>
      </c>
      <c r="AI1513">
        <v>786.52</v>
      </c>
      <c r="AK1513" t="s">
        <v>6799</v>
      </c>
      <c r="AL1513" t="s">
        <v>6801</v>
      </c>
      <c r="AM1513">
        <v>133000</v>
      </c>
      <c r="AN1513" t="s">
        <v>6878</v>
      </c>
    </row>
    <row r="1514" spans="1:40">
      <c r="A1514" s="1">
        <f>HYPERLINK("https://lsnyc.legalserver.org/matter/dynamic-profile/view/1913097","19-1913097")</f>
        <v>0</v>
      </c>
      <c r="B1514" t="s">
        <v>67</v>
      </c>
      <c r="C1514" t="s">
        <v>314</v>
      </c>
      <c r="E1514" t="s">
        <v>1256</v>
      </c>
      <c r="F1514" t="s">
        <v>2050</v>
      </c>
      <c r="G1514" t="s">
        <v>2212</v>
      </c>
      <c r="H1514">
        <v>31</v>
      </c>
      <c r="I1514" t="s">
        <v>3490</v>
      </c>
      <c r="J1514">
        <v>11213</v>
      </c>
      <c r="K1514" t="s">
        <v>3522</v>
      </c>
      <c r="L1514" t="s">
        <v>3525</v>
      </c>
      <c r="M1514" t="s">
        <v>3526</v>
      </c>
      <c r="N1514" t="s">
        <v>3554</v>
      </c>
      <c r="O1514" t="s">
        <v>4135</v>
      </c>
      <c r="Q1514" t="s">
        <v>4147</v>
      </c>
      <c r="R1514" t="s">
        <v>3522</v>
      </c>
      <c r="T1514" t="s">
        <v>4156</v>
      </c>
      <c r="U1514" t="s">
        <v>4168</v>
      </c>
      <c r="V1514" t="s">
        <v>314</v>
      </c>
      <c r="W1514">
        <v>944.38</v>
      </c>
      <c r="X1514" t="s">
        <v>4193</v>
      </c>
      <c r="Y1514" t="s">
        <v>4198</v>
      </c>
      <c r="Z1514" t="s">
        <v>5472</v>
      </c>
      <c r="AB1514" t="s">
        <v>6764</v>
      </c>
      <c r="AC1514">
        <v>31</v>
      </c>
      <c r="AD1514" t="s">
        <v>6772</v>
      </c>
      <c r="AE1514" t="s">
        <v>3526</v>
      </c>
      <c r="AF1514">
        <v>15</v>
      </c>
      <c r="AG1514">
        <v>2</v>
      </c>
      <c r="AH1514">
        <v>0</v>
      </c>
      <c r="AI1514">
        <v>786.52</v>
      </c>
      <c r="AL1514" t="s">
        <v>6801</v>
      </c>
      <c r="AM1514">
        <v>133000</v>
      </c>
    </row>
    <row r="1515" spans="1:40">
      <c r="A1515" s="1">
        <f>HYPERLINK("https://lsnyc.legalserver.org/matter/dynamic-profile/view/1906359","19-1906359")</f>
        <v>0</v>
      </c>
      <c r="B1515" t="s">
        <v>59</v>
      </c>
      <c r="C1515" t="s">
        <v>241</v>
      </c>
      <c r="E1515" t="s">
        <v>1257</v>
      </c>
      <c r="F1515" t="s">
        <v>1336</v>
      </c>
      <c r="G1515" t="s">
        <v>3020</v>
      </c>
      <c r="H1515" t="s">
        <v>3176</v>
      </c>
      <c r="I1515" t="s">
        <v>3490</v>
      </c>
      <c r="J1515">
        <v>11216</v>
      </c>
      <c r="K1515" t="s">
        <v>3522</v>
      </c>
      <c r="L1515" t="s">
        <v>3525</v>
      </c>
      <c r="M1515" t="s">
        <v>4053</v>
      </c>
      <c r="N1515" t="s">
        <v>4115</v>
      </c>
      <c r="O1515" t="s">
        <v>4134</v>
      </c>
      <c r="Q1515" t="s">
        <v>4147</v>
      </c>
      <c r="R1515" t="s">
        <v>3522</v>
      </c>
      <c r="T1515" t="s">
        <v>4156</v>
      </c>
      <c r="U1515" t="s">
        <v>4168</v>
      </c>
      <c r="V1515" t="s">
        <v>4175</v>
      </c>
      <c r="W1515">
        <v>1550</v>
      </c>
      <c r="X1515" t="s">
        <v>4193</v>
      </c>
      <c r="Y1515" t="s">
        <v>4198</v>
      </c>
      <c r="Z1515" t="s">
        <v>5473</v>
      </c>
      <c r="AA1515" t="s">
        <v>3562</v>
      </c>
      <c r="AB1515" t="s">
        <v>6765</v>
      </c>
      <c r="AC1515">
        <v>82</v>
      </c>
      <c r="AD1515" t="s">
        <v>6772</v>
      </c>
      <c r="AE1515" t="s">
        <v>3526</v>
      </c>
      <c r="AF1515">
        <v>8</v>
      </c>
      <c r="AG1515">
        <v>1</v>
      </c>
      <c r="AH1515">
        <v>0</v>
      </c>
      <c r="AI1515">
        <v>792.63</v>
      </c>
      <c r="AK1515" t="s">
        <v>6799</v>
      </c>
      <c r="AL1515" t="s">
        <v>6801</v>
      </c>
      <c r="AM1515">
        <v>99000</v>
      </c>
      <c r="AN1515" t="s">
        <v>6912</v>
      </c>
    </row>
    <row r="1516" spans="1:40">
      <c r="A1516" s="1">
        <f>HYPERLINK("https://lsnyc.legalserver.org/matter/dynamic-profile/view/1906363","19-1906363")</f>
        <v>0</v>
      </c>
      <c r="B1516" t="s">
        <v>72</v>
      </c>
      <c r="C1516" t="s">
        <v>241</v>
      </c>
      <c r="E1516" t="s">
        <v>1257</v>
      </c>
      <c r="F1516" t="s">
        <v>1336</v>
      </c>
      <c r="G1516" t="s">
        <v>3020</v>
      </c>
      <c r="H1516" t="s">
        <v>3176</v>
      </c>
      <c r="I1516" t="s">
        <v>3490</v>
      </c>
      <c r="J1516">
        <v>11216</v>
      </c>
      <c r="K1516" t="s">
        <v>3522</v>
      </c>
      <c r="L1516" t="s">
        <v>3525</v>
      </c>
      <c r="M1516" t="s">
        <v>3562</v>
      </c>
      <c r="N1516" t="s">
        <v>3554</v>
      </c>
      <c r="O1516" t="s">
        <v>4135</v>
      </c>
      <c r="Q1516" t="s">
        <v>4147</v>
      </c>
      <c r="R1516" t="s">
        <v>3522</v>
      </c>
      <c r="T1516" t="s">
        <v>4156</v>
      </c>
      <c r="U1516" t="s">
        <v>4168</v>
      </c>
      <c r="V1516" t="s">
        <v>185</v>
      </c>
      <c r="W1516">
        <v>1550</v>
      </c>
      <c r="X1516" t="s">
        <v>4193</v>
      </c>
      <c r="Y1516" t="s">
        <v>4198</v>
      </c>
      <c r="Z1516" t="s">
        <v>5473</v>
      </c>
      <c r="AA1516" t="s">
        <v>3562</v>
      </c>
      <c r="AB1516" t="s">
        <v>6765</v>
      </c>
      <c r="AC1516">
        <v>82</v>
      </c>
      <c r="AD1516" t="s">
        <v>6772</v>
      </c>
      <c r="AE1516" t="s">
        <v>3526</v>
      </c>
      <c r="AF1516">
        <v>8</v>
      </c>
      <c r="AG1516">
        <v>1</v>
      </c>
      <c r="AH1516">
        <v>0</v>
      </c>
      <c r="AI1516">
        <v>792.63</v>
      </c>
      <c r="AK1516" t="s">
        <v>6799</v>
      </c>
      <c r="AL1516" t="s">
        <v>6801</v>
      </c>
      <c r="AM1516">
        <v>99000</v>
      </c>
      <c r="AN1516" t="s">
        <v>6913</v>
      </c>
    </row>
    <row r="1517" spans="1:40">
      <c r="A1517" s="1">
        <f>HYPERLINK("https://lsnyc.legalserver.org/matter/dynamic-profile/view/1906367","19-1906367")</f>
        <v>0</v>
      </c>
      <c r="B1517" t="s">
        <v>72</v>
      </c>
      <c r="C1517" t="s">
        <v>241</v>
      </c>
      <c r="D1517" t="s">
        <v>195</v>
      </c>
      <c r="E1517" t="s">
        <v>1257</v>
      </c>
      <c r="F1517" t="s">
        <v>1336</v>
      </c>
      <c r="G1517" t="s">
        <v>3020</v>
      </c>
      <c r="H1517" t="s">
        <v>3176</v>
      </c>
      <c r="I1517" t="s">
        <v>3490</v>
      </c>
      <c r="J1517">
        <v>11216</v>
      </c>
      <c r="K1517" t="s">
        <v>3522</v>
      </c>
      <c r="L1517" t="s">
        <v>3525</v>
      </c>
      <c r="M1517" t="s">
        <v>4106</v>
      </c>
      <c r="N1517" t="s">
        <v>4109</v>
      </c>
      <c r="O1517" t="s">
        <v>4134</v>
      </c>
      <c r="P1517" t="s">
        <v>4143</v>
      </c>
      <c r="Q1517" t="s">
        <v>4147</v>
      </c>
      <c r="R1517" t="s">
        <v>3522</v>
      </c>
      <c r="T1517" t="s">
        <v>4156</v>
      </c>
      <c r="U1517" t="s">
        <v>4167</v>
      </c>
      <c r="V1517" t="s">
        <v>276</v>
      </c>
      <c r="W1517">
        <v>1550</v>
      </c>
      <c r="X1517" t="s">
        <v>4193</v>
      </c>
      <c r="Y1517" t="s">
        <v>4198</v>
      </c>
      <c r="Z1517" t="s">
        <v>5473</v>
      </c>
      <c r="AA1517" t="s">
        <v>3562</v>
      </c>
      <c r="AB1517" t="s">
        <v>6765</v>
      </c>
      <c r="AC1517">
        <v>82</v>
      </c>
      <c r="AD1517" t="s">
        <v>6772</v>
      </c>
      <c r="AE1517" t="s">
        <v>3526</v>
      </c>
      <c r="AF1517">
        <v>8</v>
      </c>
      <c r="AG1517">
        <v>1</v>
      </c>
      <c r="AH1517">
        <v>0</v>
      </c>
      <c r="AI1517">
        <v>792.63</v>
      </c>
      <c r="AK1517" t="s">
        <v>6799</v>
      </c>
      <c r="AL1517" t="s">
        <v>6801</v>
      </c>
      <c r="AM1517">
        <v>99000</v>
      </c>
      <c r="AN1517" t="s">
        <v>6914</v>
      </c>
    </row>
    <row r="1518" spans="1:40">
      <c r="A1518" s="1">
        <f>HYPERLINK("https://lsnyc.legalserver.org/matter/dynamic-profile/view/1908412","19-1908412")</f>
        <v>0</v>
      </c>
      <c r="B1518" t="s">
        <v>94</v>
      </c>
      <c r="C1518" t="s">
        <v>303</v>
      </c>
      <c r="D1518" t="s">
        <v>220</v>
      </c>
      <c r="E1518" t="s">
        <v>1258</v>
      </c>
      <c r="F1518" t="s">
        <v>2158</v>
      </c>
      <c r="G1518" t="s">
        <v>2396</v>
      </c>
      <c r="H1518" t="s">
        <v>3251</v>
      </c>
      <c r="I1518" t="s">
        <v>3495</v>
      </c>
      <c r="J1518">
        <v>10035</v>
      </c>
      <c r="K1518" t="s">
        <v>3522</v>
      </c>
      <c r="L1518" t="s">
        <v>3525</v>
      </c>
      <c r="N1518" t="s">
        <v>4108</v>
      </c>
      <c r="O1518" t="s">
        <v>4135</v>
      </c>
      <c r="P1518" t="s">
        <v>4142</v>
      </c>
      <c r="Q1518" t="s">
        <v>4147</v>
      </c>
      <c r="R1518" t="s">
        <v>3522</v>
      </c>
      <c r="T1518" t="s">
        <v>4156</v>
      </c>
      <c r="U1518" t="s">
        <v>4168</v>
      </c>
      <c r="V1518" t="s">
        <v>298</v>
      </c>
      <c r="W1518">
        <v>1510</v>
      </c>
      <c r="X1518" t="s">
        <v>4196</v>
      </c>
      <c r="Y1518" t="s">
        <v>4198</v>
      </c>
      <c r="Z1518" t="s">
        <v>5474</v>
      </c>
      <c r="AA1518" t="s">
        <v>3526</v>
      </c>
      <c r="AB1518" t="s">
        <v>6766</v>
      </c>
      <c r="AC1518">
        <v>72</v>
      </c>
      <c r="AD1518" t="s">
        <v>6772</v>
      </c>
      <c r="AE1518" t="s">
        <v>3526</v>
      </c>
      <c r="AF1518">
        <v>6</v>
      </c>
      <c r="AG1518">
        <v>1</v>
      </c>
      <c r="AH1518">
        <v>0</v>
      </c>
      <c r="AI1518">
        <v>800.64</v>
      </c>
      <c r="AL1518" t="s">
        <v>6801</v>
      </c>
      <c r="AM1518">
        <v>100000</v>
      </c>
      <c r="AN1518" t="s">
        <v>6879</v>
      </c>
    </row>
    <row r="1519" spans="1:40">
      <c r="A1519" s="1">
        <f>HYPERLINK("https://lsnyc.legalserver.org/matter/dynamic-profile/view/1906006","19-1906006")</f>
        <v>0</v>
      </c>
      <c r="B1519" t="s">
        <v>92</v>
      </c>
      <c r="C1519" t="s">
        <v>188</v>
      </c>
      <c r="D1519" t="s">
        <v>243</v>
      </c>
      <c r="E1519" t="s">
        <v>1259</v>
      </c>
      <c r="F1519" t="s">
        <v>2159</v>
      </c>
      <c r="G1519" t="s">
        <v>3121</v>
      </c>
      <c r="H1519" t="s">
        <v>3149</v>
      </c>
      <c r="I1519" t="s">
        <v>3495</v>
      </c>
      <c r="J1519">
        <v>10033</v>
      </c>
      <c r="K1519" t="s">
        <v>3522</v>
      </c>
      <c r="L1519" t="s">
        <v>3525</v>
      </c>
      <c r="N1519" t="s">
        <v>3554</v>
      </c>
      <c r="O1519" t="s">
        <v>4132</v>
      </c>
      <c r="P1519" t="s">
        <v>4139</v>
      </c>
      <c r="Q1519" t="s">
        <v>4147</v>
      </c>
      <c r="R1519" t="s">
        <v>3523</v>
      </c>
      <c r="S1519" t="s">
        <v>4155</v>
      </c>
      <c r="T1519" t="s">
        <v>4156</v>
      </c>
      <c r="V1519" t="s">
        <v>188</v>
      </c>
      <c r="W1519">
        <v>2275</v>
      </c>
      <c r="X1519" t="s">
        <v>4196</v>
      </c>
      <c r="Y1519" t="s">
        <v>4205</v>
      </c>
      <c r="Z1519" t="s">
        <v>5475</v>
      </c>
      <c r="AB1519" t="s">
        <v>6767</v>
      </c>
      <c r="AC1519">
        <v>49</v>
      </c>
      <c r="AD1519" t="s">
        <v>6772</v>
      </c>
      <c r="AE1519" t="s">
        <v>3526</v>
      </c>
      <c r="AF1519">
        <v>8</v>
      </c>
      <c r="AG1519">
        <v>3</v>
      </c>
      <c r="AH1519">
        <v>0</v>
      </c>
      <c r="AI1519">
        <v>825.13</v>
      </c>
      <c r="AL1519" t="s">
        <v>6801</v>
      </c>
      <c r="AM1519">
        <v>176000</v>
      </c>
    </row>
    <row r="1520" spans="1:40">
      <c r="A1520" s="1">
        <f>HYPERLINK("https://lsnyc.legalserver.org/matter/dynamic-profile/view/1907063","19-1907063")</f>
        <v>0</v>
      </c>
      <c r="B1520" t="s">
        <v>65</v>
      </c>
      <c r="C1520" t="s">
        <v>244</v>
      </c>
      <c r="E1520" t="s">
        <v>1260</v>
      </c>
      <c r="F1520" t="s">
        <v>2160</v>
      </c>
      <c r="G1520" t="s">
        <v>3122</v>
      </c>
      <c r="H1520" t="s">
        <v>3246</v>
      </c>
      <c r="I1520" t="s">
        <v>3490</v>
      </c>
      <c r="J1520">
        <v>11213</v>
      </c>
      <c r="K1520" t="s">
        <v>3522</v>
      </c>
      <c r="L1520" t="s">
        <v>3526</v>
      </c>
      <c r="N1520" t="s">
        <v>4112</v>
      </c>
      <c r="O1520" t="s">
        <v>4133</v>
      </c>
      <c r="Q1520" t="s">
        <v>4147</v>
      </c>
      <c r="T1520" t="s">
        <v>4156</v>
      </c>
      <c r="V1520" t="s">
        <v>217</v>
      </c>
      <c r="W1520">
        <v>0</v>
      </c>
      <c r="X1520" t="s">
        <v>4193</v>
      </c>
      <c r="Z1520" t="s">
        <v>5476</v>
      </c>
      <c r="AB1520" t="s">
        <v>6768</v>
      </c>
      <c r="AC1520">
        <v>38</v>
      </c>
      <c r="AF1520">
        <v>0</v>
      </c>
      <c r="AG1520">
        <v>2</v>
      </c>
      <c r="AH1520">
        <v>0</v>
      </c>
      <c r="AI1520">
        <v>839.15</v>
      </c>
      <c r="AL1520" t="s">
        <v>6801</v>
      </c>
      <c r="AM1520">
        <v>141900</v>
      </c>
    </row>
    <row r="1521" spans="1:39">
      <c r="A1521" s="1">
        <f>HYPERLINK("https://lsnyc.legalserver.org/matter/dynamic-profile/view/1916150","19-1916150")</f>
        <v>0</v>
      </c>
      <c r="B1521" t="s">
        <v>115</v>
      </c>
      <c r="C1521" t="s">
        <v>240</v>
      </c>
      <c r="D1521" t="s">
        <v>243</v>
      </c>
      <c r="E1521" t="s">
        <v>990</v>
      </c>
      <c r="F1521" t="s">
        <v>1488</v>
      </c>
      <c r="G1521" t="s">
        <v>3123</v>
      </c>
      <c r="H1521">
        <v>43</v>
      </c>
      <c r="I1521" t="s">
        <v>3495</v>
      </c>
      <c r="J1521">
        <v>10033</v>
      </c>
      <c r="K1521" t="s">
        <v>3522</v>
      </c>
      <c r="L1521" t="s">
        <v>3525</v>
      </c>
      <c r="N1521" t="s">
        <v>4112</v>
      </c>
      <c r="O1521" t="s">
        <v>4135</v>
      </c>
      <c r="P1521" t="s">
        <v>4142</v>
      </c>
      <c r="Q1521" t="s">
        <v>4147</v>
      </c>
      <c r="R1521" t="s">
        <v>3523</v>
      </c>
      <c r="T1521" t="s">
        <v>4156</v>
      </c>
      <c r="V1521" t="s">
        <v>240</v>
      </c>
      <c r="W1521">
        <v>2050</v>
      </c>
      <c r="X1521" t="s">
        <v>4196</v>
      </c>
      <c r="Y1521" t="s">
        <v>4198</v>
      </c>
      <c r="Z1521" t="s">
        <v>5477</v>
      </c>
      <c r="AC1521">
        <v>40</v>
      </c>
      <c r="AD1521" t="s">
        <v>6772</v>
      </c>
      <c r="AE1521" t="s">
        <v>3526</v>
      </c>
      <c r="AF1521">
        <v>5</v>
      </c>
      <c r="AG1521">
        <v>3</v>
      </c>
      <c r="AH1521">
        <v>0</v>
      </c>
      <c r="AI1521">
        <v>918.89</v>
      </c>
      <c r="AL1521" t="s">
        <v>6801</v>
      </c>
      <c r="AM1521">
        <v>196000</v>
      </c>
    </row>
    <row r="1522" spans="1:39">
      <c r="A1522" s="1">
        <f>HYPERLINK("https://lsnyc.legalserver.org/matter/dynamic-profile/view/1914645","19-1914645")</f>
        <v>0</v>
      </c>
      <c r="B1522" t="s">
        <v>91</v>
      </c>
      <c r="C1522" t="s">
        <v>269</v>
      </c>
      <c r="E1522" t="s">
        <v>489</v>
      </c>
      <c r="F1522" t="s">
        <v>2161</v>
      </c>
      <c r="G1522" t="s">
        <v>2251</v>
      </c>
      <c r="H1522" t="s">
        <v>3131</v>
      </c>
      <c r="I1522" t="s">
        <v>3495</v>
      </c>
      <c r="J1522">
        <v>10035</v>
      </c>
      <c r="K1522" t="s">
        <v>3522</v>
      </c>
      <c r="L1522" t="s">
        <v>3525</v>
      </c>
      <c r="N1522" t="s">
        <v>4108</v>
      </c>
      <c r="O1522" t="s">
        <v>4137</v>
      </c>
      <c r="Q1522" t="s">
        <v>4147</v>
      </c>
      <c r="R1522" t="s">
        <v>3522</v>
      </c>
      <c r="T1522" t="s">
        <v>4156</v>
      </c>
      <c r="U1522" t="s">
        <v>4168</v>
      </c>
      <c r="V1522" t="s">
        <v>238</v>
      </c>
      <c r="W1522">
        <v>2100</v>
      </c>
      <c r="X1522" t="s">
        <v>4196</v>
      </c>
      <c r="Y1522" t="s">
        <v>4198</v>
      </c>
      <c r="Z1522" t="s">
        <v>5478</v>
      </c>
      <c r="AC1522">
        <v>33</v>
      </c>
      <c r="AD1522" t="s">
        <v>6772</v>
      </c>
      <c r="AE1522" t="s">
        <v>3526</v>
      </c>
      <c r="AF1522">
        <v>2</v>
      </c>
      <c r="AG1522">
        <v>1</v>
      </c>
      <c r="AH1522">
        <v>0</v>
      </c>
      <c r="AI1522">
        <v>920.74</v>
      </c>
      <c r="AL1522" t="s">
        <v>6801</v>
      </c>
      <c r="AM1522">
        <v>115000</v>
      </c>
    </row>
    <row r="1523" spans="1:39">
      <c r="A1523" s="1">
        <f>HYPERLINK("https://lsnyc.legalserver.org/matter/dynamic-profile/view/1916326","19-1916326")</f>
        <v>0</v>
      </c>
      <c r="B1523" t="s">
        <v>91</v>
      </c>
      <c r="C1523" t="s">
        <v>223</v>
      </c>
      <c r="D1523" t="s">
        <v>242</v>
      </c>
      <c r="E1523" t="s">
        <v>489</v>
      </c>
      <c r="F1523" t="s">
        <v>2161</v>
      </c>
      <c r="G1523" t="s">
        <v>2251</v>
      </c>
      <c r="H1523" t="s">
        <v>3131</v>
      </c>
      <c r="I1523" t="s">
        <v>3495</v>
      </c>
      <c r="J1523">
        <v>10035</v>
      </c>
      <c r="K1523" t="s">
        <v>3522</v>
      </c>
      <c r="L1523" t="s">
        <v>3525</v>
      </c>
      <c r="N1523" t="s">
        <v>3554</v>
      </c>
      <c r="O1523" t="s">
        <v>4135</v>
      </c>
      <c r="P1523" t="s">
        <v>4142</v>
      </c>
      <c r="Q1523" t="s">
        <v>4147</v>
      </c>
      <c r="R1523" t="s">
        <v>3522</v>
      </c>
      <c r="T1523" t="s">
        <v>4156</v>
      </c>
      <c r="U1523" t="s">
        <v>4168</v>
      </c>
      <c r="V1523" t="s">
        <v>223</v>
      </c>
      <c r="W1523">
        <v>2100</v>
      </c>
      <c r="X1523" t="s">
        <v>4196</v>
      </c>
      <c r="Y1523" t="s">
        <v>4201</v>
      </c>
      <c r="Z1523" t="s">
        <v>5478</v>
      </c>
      <c r="AC1523">
        <v>33</v>
      </c>
      <c r="AD1523" t="s">
        <v>6772</v>
      </c>
      <c r="AE1523" t="s">
        <v>3526</v>
      </c>
      <c r="AF1523">
        <v>2</v>
      </c>
      <c r="AG1523">
        <v>1</v>
      </c>
      <c r="AH1523">
        <v>0</v>
      </c>
      <c r="AI1523">
        <v>920.74</v>
      </c>
      <c r="AL1523" t="s">
        <v>6801</v>
      </c>
      <c r="AM1523">
        <v>115000</v>
      </c>
    </row>
    <row r="1524" spans="1:39">
      <c r="A1524" s="1">
        <f>HYPERLINK("https://lsnyc.legalserver.org/matter/dynamic-profile/view/1916205","19-1916205")</f>
        <v>0</v>
      </c>
      <c r="B1524" t="s">
        <v>115</v>
      </c>
      <c r="C1524" t="s">
        <v>208</v>
      </c>
      <c r="D1524" t="s">
        <v>243</v>
      </c>
      <c r="E1524" t="s">
        <v>1083</v>
      </c>
      <c r="F1524" t="s">
        <v>2162</v>
      </c>
      <c r="G1524" t="s">
        <v>3124</v>
      </c>
      <c r="H1524" t="s">
        <v>3453</v>
      </c>
      <c r="I1524" t="s">
        <v>3495</v>
      </c>
      <c r="J1524">
        <v>10033</v>
      </c>
      <c r="K1524" t="s">
        <v>3522</v>
      </c>
      <c r="L1524" t="s">
        <v>3525</v>
      </c>
      <c r="N1524" t="s">
        <v>4112</v>
      </c>
      <c r="O1524" t="s">
        <v>4135</v>
      </c>
      <c r="P1524" t="s">
        <v>4142</v>
      </c>
      <c r="Q1524" t="s">
        <v>4147</v>
      </c>
      <c r="R1524" t="s">
        <v>3523</v>
      </c>
      <c r="T1524" t="s">
        <v>4156</v>
      </c>
      <c r="V1524" t="s">
        <v>208</v>
      </c>
      <c r="W1524">
        <v>1666.58</v>
      </c>
      <c r="X1524" t="s">
        <v>4196</v>
      </c>
      <c r="Y1524" t="s">
        <v>4198</v>
      </c>
      <c r="Z1524" t="s">
        <v>5479</v>
      </c>
      <c r="AB1524" t="s">
        <v>6769</v>
      </c>
      <c r="AC1524">
        <v>90</v>
      </c>
      <c r="AD1524" t="s">
        <v>6772</v>
      </c>
      <c r="AE1524" t="s">
        <v>3526</v>
      </c>
      <c r="AF1524">
        <v>4</v>
      </c>
      <c r="AG1524">
        <v>2</v>
      </c>
      <c r="AH1524">
        <v>0</v>
      </c>
      <c r="AI1524">
        <v>1028.98</v>
      </c>
      <c r="AL1524" t="s">
        <v>6801</v>
      </c>
      <c r="AM1524">
        <v>174000</v>
      </c>
    </row>
    <row r="1525" spans="1:39">
      <c r="A1525" s="1">
        <f>HYPERLINK("https://lsnyc.legalserver.org/matter/dynamic-profile/view/1907507","19-1907507")</f>
        <v>0</v>
      </c>
      <c r="B1525" t="s">
        <v>65</v>
      </c>
      <c r="C1525" t="s">
        <v>185</v>
      </c>
      <c r="E1525" t="s">
        <v>1261</v>
      </c>
      <c r="F1525" t="s">
        <v>2163</v>
      </c>
      <c r="G1525" t="s">
        <v>2204</v>
      </c>
      <c r="H1525" t="s">
        <v>3477</v>
      </c>
      <c r="I1525" t="s">
        <v>3490</v>
      </c>
      <c r="J1525">
        <v>11225</v>
      </c>
      <c r="K1525" t="s">
        <v>3522</v>
      </c>
      <c r="L1525" t="s">
        <v>3525</v>
      </c>
      <c r="N1525" t="s">
        <v>4112</v>
      </c>
      <c r="O1525" t="s">
        <v>4133</v>
      </c>
      <c r="Q1525" t="s">
        <v>4147</v>
      </c>
      <c r="R1525" t="s">
        <v>3522</v>
      </c>
      <c r="T1525" t="s">
        <v>4156</v>
      </c>
      <c r="V1525" t="s">
        <v>185</v>
      </c>
      <c r="W1525">
        <v>0</v>
      </c>
      <c r="X1525" t="s">
        <v>4193</v>
      </c>
      <c r="Z1525" t="s">
        <v>5480</v>
      </c>
      <c r="AB1525" t="s">
        <v>6770</v>
      </c>
      <c r="AC1525">
        <v>46</v>
      </c>
      <c r="AF1525">
        <v>0</v>
      </c>
      <c r="AG1525">
        <v>1</v>
      </c>
      <c r="AH1525">
        <v>0</v>
      </c>
      <c r="AI1525">
        <v>1136.91</v>
      </c>
      <c r="AL1525" t="s">
        <v>6801</v>
      </c>
      <c r="AM1525">
        <v>142000</v>
      </c>
    </row>
    <row r="1526" spans="1:39">
      <c r="A1526" s="1">
        <f>HYPERLINK("https://lsnyc.legalserver.org/matter/dynamic-profile/view/1915043","19-1915043")</f>
        <v>0</v>
      </c>
      <c r="B1526" t="s">
        <v>64</v>
      </c>
      <c r="C1526" t="s">
        <v>219</v>
      </c>
      <c r="E1526" t="s">
        <v>877</v>
      </c>
      <c r="F1526" t="s">
        <v>2126</v>
      </c>
      <c r="G1526" t="s">
        <v>3108</v>
      </c>
      <c r="H1526" t="s">
        <v>3220</v>
      </c>
      <c r="I1526" t="s">
        <v>3490</v>
      </c>
      <c r="J1526">
        <v>11225</v>
      </c>
      <c r="K1526" t="s">
        <v>3522</v>
      </c>
      <c r="L1526" t="s">
        <v>3525</v>
      </c>
      <c r="O1526" t="s">
        <v>4134</v>
      </c>
      <c r="Q1526" t="s">
        <v>4147</v>
      </c>
      <c r="R1526" t="s">
        <v>3522</v>
      </c>
      <c r="T1526" t="s">
        <v>4156</v>
      </c>
      <c r="V1526" t="s">
        <v>270</v>
      </c>
      <c r="W1526">
        <v>0</v>
      </c>
      <c r="X1526" t="s">
        <v>4193</v>
      </c>
      <c r="Z1526" t="s">
        <v>5436</v>
      </c>
      <c r="AB1526" t="s">
        <v>5482</v>
      </c>
      <c r="AC1526">
        <v>14</v>
      </c>
      <c r="AF1526">
        <v>0</v>
      </c>
      <c r="AG1526">
        <v>2</v>
      </c>
      <c r="AH1526">
        <v>0</v>
      </c>
      <c r="AI1526">
        <v>2509.76</v>
      </c>
      <c r="AL1526" t="s">
        <v>6801</v>
      </c>
      <c r="AM1526">
        <v>424400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2019-12-27T17:19:03Z</dcterms:created>
  <dcterms:modified xsi:type="dcterms:W3CDTF">2019-12-27T17:19:03Z</dcterms:modified>
</cp:coreProperties>
</file>