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<sst xmlns="http://schemas.openxmlformats.org/spreadsheetml/2006/main" count="27522" uniqueCount="2650">
  <si>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</si>
  <si>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</si>
  <si>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</si>
  <si>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</si>
  <si>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</si>
  <si>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</si>
  <si>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</si>
  <si>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Exclude due to Income?</t>
  </si>
  <si>
    <t>Needs Substantial Activity?</t>
  </si>
  <si>
    <t>Country of Origin</t>
  </si>
  <si>
    <t>Language</t>
  </si>
  <si>
    <t>Outcome To Report</t>
  </si>
  <si>
    <t>HRA Case Coding</t>
  </si>
  <si>
    <t>IOI Was client apprehended at border? (IOI 2&amp;3)</t>
  </si>
  <si>
    <t>BxLS</t>
  </si>
  <si>
    <t>QLS</t>
  </si>
  <si>
    <t>LSU</t>
  </si>
  <si>
    <t>SILS</t>
  </si>
  <si>
    <t>MLS</t>
  </si>
  <si>
    <t>BkLS</t>
  </si>
  <si>
    <t>Guiral Cuervo, Carolina</t>
  </si>
  <si>
    <t>Heine, Isabel</t>
  </si>
  <si>
    <t>Kim, Jennie</t>
  </si>
  <si>
    <t>Sahai, Chelsea</t>
  </si>
  <si>
    <t>Cardenas, Lizeth</t>
  </si>
  <si>
    <t>Patel, Kinjal</t>
  </si>
  <si>
    <t>Rosario Rodriguez, Luis</t>
  </si>
  <si>
    <t>Singh, Ermela</t>
  </si>
  <si>
    <t>Ramos, Kathryn</t>
  </si>
  <si>
    <t>Mattessich, Sandra</t>
  </si>
  <si>
    <t>Urizar, Ana</t>
  </si>
  <si>
    <t>Velez, Cristina</t>
  </si>
  <si>
    <t>Madrid, Andrea</t>
  </si>
  <si>
    <t>Kim, Jae Young</t>
  </si>
  <si>
    <t>Ventura, Lynn</t>
  </si>
  <si>
    <t>Guerra, Yolanda</t>
  </si>
  <si>
    <t>Solis-Silva, Perla</t>
  </si>
  <si>
    <t>Vitale, Soo Kyung</t>
  </si>
  <si>
    <t>Edwards, Zamara</t>
  </si>
  <si>
    <t>Barrow, Jennifer</t>
  </si>
  <si>
    <t>Martinez-Gunter, Maribel</t>
  </si>
  <si>
    <t>Morales-Robinson, Ana</t>
  </si>
  <si>
    <t>Eugenio, Rosanna</t>
  </si>
  <si>
    <t>Rivera, Brunilda</t>
  </si>
  <si>
    <t>Ramos, Axel</t>
  </si>
  <si>
    <t>Patel, Roopal</t>
  </si>
  <si>
    <t>Chua, Janice</t>
  </si>
  <si>
    <t>Telson, Sarah</t>
  </si>
  <si>
    <t>Deolarte, Stephanie</t>
  </si>
  <si>
    <t>Chalas, Mayra</t>
  </si>
  <si>
    <t>Taylor, Stephanie</t>
  </si>
  <si>
    <t>Trinidad, Lenina</t>
  </si>
  <si>
    <t>Carrillo, Sami</t>
  </si>
  <si>
    <t>Carlier, Milton</t>
  </si>
  <si>
    <t>Zaman, Razeen</t>
  </si>
  <si>
    <t>Camargo, Tatiana</t>
  </si>
  <si>
    <t>Wilkins, Dave</t>
  </si>
  <si>
    <t>Odoemene, Udoka</t>
  </si>
  <si>
    <t>Tan, Andrea</t>
  </si>
  <si>
    <t>Tavis, Anna</t>
  </si>
  <si>
    <t>Williams, Lorilei</t>
  </si>
  <si>
    <t>Cruz Pearson, Elsa</t>
  </si>
  <si>
    <t>Baltimore, Beth</t>
  </si>
  <si>
    <t>Newton, Jack</t>
  </si>
  <si>
    <t>Richman, Emily</t>
  </si>
  <si>
    <t>Alba, Sarah</t>
  </si>
  <si>
    <t>Ortiz, Andrew</t>
  </si>
  <si>
    <t>Stadler, Danielle</t>
  </si>
  <si>
    <t>Crafton, Jessica</t>
  </si>
  <si>
    <t>Lawson, Terry</t>
  </si>
  <si>
    <t>Diaz, Christhian</t>
  </si>
  <si>
    <t>Craycroft, Andrew</t>
  </si>
  <si>
    <t>Hernandez-Guzman, Sandra</t>
  </si>
  <si>
    <t>Khan, Sofia</t>
  </si>
  <si>
    <t>Perez Hicks, Kris</t>
  </si>
  <si>
    <t>He, Ricky</t>
  </si>
  <si>
    <t>Sambataro, Debra</t>
  </si>
  <si>
    <t>Jeong, Nicole</t>
  </si>
  <si>
    <t>Abrigo, Jose</t>
  </si>
  <si>
    <t>DeCastro, Angela</t>
  </si>
  <si>
    <t>Weaver, Cynthia</t>
  </si>
  <si>
    <t>Heintz, Adam</t>
  </si>
  <si>
    <t>Vasquez Maisela, Ana Celina</t>
  </si>
  <si>
    <t>Guzman, Ronnie</t>
  </si>
  <si>
    <t>Ladi, Marcial</t>
  </si>
  <si>
    <t>Medina Jorge, Verania</t>
  </si>
  <si>
    <t>Skuratov, Dmitrii A</t>
  </si>
  <si>
    <t>Imrose, Wasi</t>
  </si>
  <si>
    <t>Alas Vega, Gabriela Ivania</t>
  </si>
  <si>
    <t>Orellana, Victor</t>
  </si>
  <si>
    <t>Arzu Madrid, Isieny</t>
  </si>
  <si>
    <t>Garcia, Amparo Milady</t>
  </si>
  <si>
    <t>Donadello, Giordano</t>
  </si>
  <si>
    <t>Lucero Campos, Belkis Elena</t>
  </si>
  <si>
    <t>Gallego Abad, Felipe</t>
  </si>
  <si>
    <t>Burton, Lijhaun Deondre</t>
  </si>
  <si>
    <t>Mejia Moran, Liam</t>
  </si>
  <si>
    <t>Georges, Agnes</t>
  </si>
  <si>
    <t>Blanco Landaverde, Miguel Fernando</t>
  </si>
  <si>
    <t>Abdallah, Mihad</t>
  </si>
  <si>
    <t>Antonio Martinez, Perla</t>
  </si>
  <si>
    <t>Baniro, Sarah</t>
  </si>
  <si>
    <t>Lache, Milena</t>
  </si>
  <si>
    <t>De Jesus, Jeanette</t>
  </si>
  <si>
    <t>Escalante, Melissa Gertrudis</t>
  </si>
  <si>
    <t>Magloire, Ghislaine</t>
  </si>
  <si>
    <t>Bernardez Flores, Kandy Jahira</t>
  </si>
  <si>
    <t>Colon-Miguel, Cintia</t>
  </si>
  <si>
    <t>Benito, Blanca J</t>
  </si>
  <si>
    <t>Zamora, Carlos</t>
  </si>
  <si>
    <t>Zelaya Bernardez, Loammy Yadira</t>
  </si>
  <si>
    <t>Castillo, Guadalupe</t>
  </si>
  <si>
    <t>Orozco Martinez, Karen Maryori</t>
  </si>
  <si>
    <t>Francis Garth, Jaden</t>
  </si>
  <si>
    <t>Harvey, Yasmin</t>
  </si>
  <si>
    <t>Chiji, Chinonso Kingsley</t>
  </si>
  <si>
    <t>Ahmed, Shoaib</t>
  </si>
  <si>
    <t>Ewuola, Adebukola</t>
  </si>
  <si>
    <t>Martinez, Sandra</t>
  </si>
  <si>
    <t>Wang, Quan</t>
  </si>
  <si>
    <t>Gamboa Estrada, Cherry A.</t>
  </si>
  <si>
    <t>Velasquez Martinez, Terma M.</t>
  </si>
  <si>
    <t>Gamboa Velasquez, Keilyn A.</t>
  </si>
  <si>
    <t>Gamboa Velasquez, Keiry C.</t>
  </si>
  <si>
    <t>Flores, Martin</t>
  </si>
  <si>
    <t>Hernandez Rivera, Jose Angel</t>
  </si>
  <si>
    <t>Ballesteros Bernardez, Genesis</t>
  </si>
  <si>
    <t>Ballesteros Bernardez, Jordan</t>
  </si>
  <si>
    <t>Nunez, Nikesha</t>
  </si>
  <si>
    <t>Jastrzebski, Piotr</t>
  </si>
  <si>
    <t>Nunez, Marcia Patricia</t>
  </si>
  <si>
    <t>Garcia, Adriana</t>
  </si>
  <si>
    <t>Gonzalez del Jesus, Maria Altagracia</t>
  </si>
  <si>
    <t>Rendon Monroy, Fernando</t>
  </si>
  <si>
    <t>Lewis Thomas, Rochell Ieisha</t>
  </si>
  <si>
    <t>Castillo Garcia, Deinor</t>
  </si>
  <si>
    <t>Castillo Garcia, Keisy Yoliveth</t>
  </si>
  <si>
    <t>Orazbayev, Darkhan</t>
  </si>
  <si>
    <t>Ramirez, Natalia</t>
  </si>
  <si>
    <t>Omosowon, Taiwo</t>
  </si>
  <si>
    <t>Rivera Cruz, Mauricio</t>
  </si>
  <si>
    <t>Bernal, Luisa</t>
  </si>
  <si>
    <t>Juarez Herrera, Mariana</t>
  </si>
  <si>
    <t>Flores Rojas, Celia</t>
  </si>
  <si>
    <t>Torres Hernandez, Airton A.</t>
  </si>
  <si>
    <t>Igoudala, Amenzee</t>
  </si>
  <si>
    <t>Gutierrez Suazo, Mirna M</t>
  </si>
  <si>
    <t>Dzamesi, Peter Kwadwo</t>
  </si>
  <si>
    <t>Garcia, Marce</t>
  </si>
  <si>
    <t>Udeani, Bridget</t>
  </si>
  <si>
    <t>Bautista Aleman, Meylin</t>
  </si>
  <si>
    <t>Gomez Chavarria, Elmer Bismark</t>
  </si>
  <si>
    <t>Martinez, Pablo F.</t>
  </si>
  <si>
    <t>Soumere, Asha K</t>
  </si>
  <si>
    <t>Marcos Zacarias, Marisol</t>
  </si>
  <si>
    <t>Marcos Zacarias, Maximo</t>
  </si>
  <si>
    <t>Cadena Beltran, Yenis</t>
  </si>
  <si>
    <t>Garcia Casildo, Nelda</t>
  </si>
  <si>
    <t>Castillo Garcia, Reynaldo</t>
  </si>
  <si>
    <t>Gonzalez, Cristian Olber</t>
  </si>
  <si>
    <t>Rodriguez Segovia, Katherine Rosario</t>
  </si>
  <si>
    <t>Suling, Elsa A</t>
  </si>
  <si>
    <t>Remonvil, Ilsia</t>
  </si>
  <si>
    <t>Baptiste, Rose</t>
  </si>
  <si>
    <t>De la Rosa, Carina</t>
  </si>
  <si>
    <t>Quiamboa, Romeo</t>
  </si>
  <si>
    <t>Dickson, Oril D</t>
  </si>
  <si>
    <t>Sotil Fernandez, Geraldine</t>
  </si>
  <si>
    <t>Moreira Mindiola, Rosario de la Merced</t>
  </si>
  <si>
    <t>Ramirez, Anahi</t>
  </si>
  <si>
    <t>Noel, Winston Allan</t>
  </si>
  <si>
    <t>Zuleta Chavez, Cristian</t>
  </si>
  <si>
    <t>Chatzopoulos, Loannis</t>
  </si>
  <si>
    <t>Inirio, Leisy</t>
  </si>
  <si>
    <t>Kim, Chang Bum</t>
  </si>
  <si>
    <t>Cardona-Urbina, Belkyn Mariana</t>
  </si>
  <si>
    <t>Aldana-Cardona, Rosa Lidia</t>
  </si>
  <si>
    <t>Bermudez Figueroa, Ronald Joel</t>
  </si>
  <si>
    <t>Maksimenko, Tatiana</t>
  </si>
  <si>
    <t>Maksimenko, Oleg</t>
  </si>
  <si>
    <t>Maksimenko, Margarita</t>
  </si>
  <si>
    <t>Maksimenko, Egor</t>
  </si>
  <si>
    <t>Aulov, Aleksei</t>
  </si>
  <si>
    <t>Cedillo Sian, Luis Miguel Andres</t>
  </si>
  <si>
    <t>Calderon Rodriguez, Ruth Abigail</t>
  </si>
  <si>
    <t>Smith, Winston R</t>
  </si>
  <si>
    <t>Alzaidy, Lawza</t>
  </si>
  <si>
    <t>Murillo, Junior</t>
  </si>
  <si>
    <t>Murillo, Carlos</t>
  </si>
  <si>
    <t>Costly Benneth, Arnold</t>
  </si>
  <si>
    <t>Setal, Yvonne</t>
  </si>
  <si>
    <t>Barrios Flores, Sharlian Berenice</t>
  </si>
  <si>
    <t>Cuellar Henriquez, Diana Veronica</t>
  </si>
  <si>
    <t>Amaya Moya, Denisse Samaris</t>
  </si>
  <si>
    <t>Amaya Moya, Ariana Gisel</t>
  </si>
  <si>
    <t>Ganieva, Eliza</t>
  </si>
  <si>
    <t>Castellon Calderon, Monserath</t>
  </si>
  <si>
    <t>Martinez Flores, Keisy Mercedes</t>
  </si>
  <si>
    <t>Suazo Martinez, Maria S</t>
  </si>
  <si>
    <t>Ortiz, Cinthia</t>
  </si>
  <si>
    <t>Hernandez Cabrera, Yudi Elizabeth</t>
  </si>
  <si>
    <t>Morgan, Delfant</t>
  </si>
  <si>
    <t>Garcia, Lorna</t>
  </si>
  <si>
    <t>Lino Garcia, Nahomy</t>
  </si>
  <si>
    <t>Lhamo, Dolma</t>
  </si>
  <si>
    <t>Eghan, David Claude</t>
  </si>
  <si>
    <t>Leon Rosas, Florencia C</t>
  </si>
  <si>
    <t>Cedillo Dominguez, Orlando Daniel</t>
  </si>
  <si>
    <t>Arslanbas, Ipek</t>
  </si>
  <si>
    <t>Martinez, Claudia M</t>
  </si>
  <si>
    <t>Ziama, Elfreada</t>
  </si>
  <si>
    <t>Moonsammy, Keeras</t>
  </si>
  <si>
    <t>Omoruyi, Keith</t>
  </si>
  <si>
    <t>Garcia Marin, Destyni Z</t>
  </si>
  <si>
    <t>Garcia Marin, Emilson A</t>
  </si>
  <si>
    <t>Miranda Cordova, Estephany E</t>
  </si>
  <si>
    <t>Khozhev, Dimitry</t>
  </si>
  <si>
    <t>Basdeo, Paul N</t>
  </si>
  <si>
    <t>Plasencia, Litzy</t>
  </si>
  <si>
    <t>Maria, Alenny</t>
  </si>
  <si>
    <t>King, Sherwin</t>
  </si>
  <si>
    <t>Baca, Hector</t>
  </si>
  <si>
    <t>Batiz Martinez, Mirta Carolina</t>
  </si>
  <si>
    <t>Corrales Uribe, Delia P</t>
  </si>
  <si>
    <t>Salcedo Carillo, Abel Orlando</t>
  </si>
  <si>
    <t>Lopez Medina, Maria</t>
  </si>
  <si>
    <t>Zapata Figueroa, Pamela</t>
  </si>
  <si>
    <t>Zambrano, Gabriela</t>
  </si>
  <si>
    <t>Cedillo Dominguez, Orlando</t>
  </si>
  <si>
    <t>Wolliaston, Erica</t>
  </si>
  <si>
    <t>Magomedova, Albina</t>
  </si>
  <si>
    <t>Mejia, Francy</t>
  </si>
  <si>
    <t>Pereira, Kary</t>
  </si>
  <si>
    <t>Diaz, Jose</t>
  </si>
  <si>
    <t>Gutierrez, Ana Lidia</t>
  </si>
  <si>
    <t>Salim, Shahnaz</t>
  </si>
  <si>
    <t>Martinez, Brenda</t>
  </si>
  <si>
    <t>Bryan, Allison Alvina</t>
  </si>
  <si>
    <t>Johnson, Edmond</t>
  </si>
  <si>
    <t>Pena, Glenys</t>
  </si>
  <si>
    <t>Ramos Bernardez, Claudia</t>
  </si>
  <si>
    <t>James, Miama</t>
  </si>
  <si>
    <t>Nava, Emelia</t>
  </si>
  <si>
    <t>Quintanilla, Alejandro</t>
  </si>
  <si>
    <t>Madrid Quezada, Edgardo Josue</t>
  </si>
  <si>
    <t>Madrid Milla, Jonathan Josue</t>
  </si>
  <si>
    <t>Mayor, Milady</t>
  </si>
  <si>
    <t>Alvarado, Ruth</t>
  </si>
  <si>
    <t>Guzman Tavarez, Derna</t>
  </si>
  <si>
    <t>Turcio, Rigoberto</t>
  </si>
  <si>
    <t>Gonzalez, Esmeidi</t>
  </si>
  <si>
    <t>Mendoza Sanchez, Nancy</t>
  </si>
  <si>
    <t>Dodson, David</t>
  </si>
  <si>
    <t>Pariste, Rosena</t>
  </si>
  <si>
    <t>Mcpherson, Cheryl</t>
  </si>
  <si>
    <t>Brown, Carolina</t>
  </si>
  <si>
    <t>Guzman, Gina</t>
  </si>
  <si>
    <t>Rochez Guzman, Brendel Y</t>
  </si>
  <si>
    <t>Maguina, Milagros</t>
  </si>
  <si>
    <t>Smith, Eulet C</t>
  </si>
  <si>
    <t>Bozkurt, Sertac</t>
  </si>
  <si>
    <t>Veras Diaz, Carlos A</t>
  </si>
  <si>
    <t>Morgan, Richard</t>
  </si>
  <si>
    <t>Songg, Priscilla</t>
  </si>
  <si>
    <t>Tsiklauri, Nika</t>
  </si>
  <si>
    <t>Chavarria Garcia, Elda M</t>
  </si>
  <si>
    <t>Chavarria Garcia, Ashlee Nicole</t>
  </si>
  <si>
    <t>Morquecho, Luis</t>
  </si>
  <si>
    <t>Meade, Anthony</t>
  </si>
  <si>
    <t>Alvarez, Yezid</t>
  </si>
  <si>
    <t>Esquivel Tuchez, Olbia Jemima</t>
  </si>
  <si>
    <t>Amilo, Emmanuel</t>
  </si>
  <si>
    <t>Taylor, Rene</t>
  </si>
  <si>
    <t>Harris, Humberto</t>
  </si>
  <si>
    <t>Throught, Jahlee</t>
  </si>
  <si>
    <t>Adames, Edita</t>
  </si>
  <si>
    <t>Hernandez, Jacqueline T.</t>
  </si>
  <si>
    <t>Lewis, Kammiel</t>
  </si>
  <si>
    <t>Abdulla, Lee-Shanique</t>
  </si>
  <si>
    <t>Idrovo Shindler, Svetlana</t>
  </si>
  <si>
    <t>Urroz, Miguel</t>
  </si>
  <si>
    <t>Laines-Juracan, Miguel</t>
  </si>
  <si>
    <t>Hernandez, Emma G.</t>
  </si>
  <si>
    <t>Paz-Ramirez, Maryolin</t>
  </si>
  <si>
    <t>Chavez, Ivonne</t>
  </si>
  <si>
    <t>Ixmata Tambriz, Maria Angela</t>
  </si>
  <si>
    <t>Cunningham, Dwight</t>
  </si>
  <si>
    <t>Gausin, Maria</t>
  </si>
  <si>
    <t>Martin, Derwain</t>
  </si>
  <si>
    <t>Rivaz Guzman, Sharbie C.</t>
  </si>
  <si>
    <t>Bautista Carranza, Marcelino</t>
  </si>
  <si>
    <t>Ramirez, Ethel</t>
  </si>
  <si>
    <t>Bones, Veronica</t>
  </si>
  <si>
    <t>Dapun, Ramsey</t>
  </si>
  <si>
    <t>Aluwihare, Sashin</t>
  </si>
  <si>
    <t>Thiombiano, Abdoulaziz</t>
  </si>
  <si>
    <t>Shakhnazarov, Aram</t>
  </si>
  <si>
    <t>Telfer, Orete XW</t>
  </si>
  <si>
    <t>Perez Castro, Armando</t>
  </si>
  <si>
    <t>Murillo, Kenia</t>
  </si>
  <si>
    <t>Beharie, Venna M</t>
  </si>
  <si>
    <t>Murillo Garcia, Jose Antonio</t>
  </si>
  <si>
    <t>Liriano, Milka</t>
  </si>
  <si>
    <t>Coreas Portillo, Henry</t>
  </si>
  <si>
    <t>Owusu Adadio, Ben</t>
  </si>
  <si>
    <t>Sayago, Luis</t>
  </si>
  <si>
    <t>Rios Lara, Oscar Isaac</t>
  </si>
  <si>
    <t>Soung, Hyundong</t>
  </si>
  <si>
    <t>Sangare, Mawa</t>
  </si>
  <si>
    <t>Cesar, Tomas</t>
  </si>
  <si>
    <t>Tsykov, Vitalii</t>
  </si>
  <si>
    <t>Lopez Zapata, Aneiry</t>
  </si>
  <si>
    <t>Anacleto Valerio, Jorge</t>
  </si>
  <si>
    <t>Vallecillo-Ramirez, Angel David</t>
  </si>
  <si>
    <t>Ballesteros Bernardez, Jahir</t>
  </si>
  <si>
    <t>Hernandez Campos, Angelica Maria</t>
  </si>
  <si>
    <t>Nunez, Helen</t>
  </si>
  <si>
    <t>Rodriguez, Rafael A</t>
  </si>
  <si>
    <t>Vidal, Ana C</t>
  </si>
  <si>
    <t>Roman, Jessica</t>
  </si>
  <si>
    <t>Roman Castillo, Xavier</t>
  </si>
  <si>
    <t>Gray, Delano</t>
  </si>
  <si>
    <t>Gordon, Dawn</t>
  </si>
  <si>
    <t>Sadykova, Assem</t>
  </si>
  <si>
    <t>Alvarez, Jacklyn</t>
  </si>
  <si>
    <t>Likhacheva, Nadezda</t>
  </si>
  <si>
    <t>Ramos, Danielle</t>
  </si>
  <si>
    <t>Njuguna, Bilha M</t>
  </si>
  <si>
    <t>Coreas Portillo, Owen</t>
  </si>
  <si>
    <t>Toro Porras, Yenny</t>
  </si>
  <si>
    <t>Goodwin, Matthew</t>
  </si>
  <si>
    <t>Skeete, Wesley</t>
  </si>
  <si>
    <t>Banegas Garcia, Herber Fabricio</t>
  </si>
  <si>
    <t>Reid, Morris</t>
  </si>
  <si>
    <t>Franke, Marioara</t>
  </si>
  <si>
    <t>Sewell, Sashagaye</t>
  </si>
  <si>
    <t>Saunders, Zyeair Undel</t>
  </si>
  <si>
    <t>Martinez Crisostomo, Jorge Emilio</t>
  </si>
  <si>
    <t>Ventura, Sthewal</t>
  </si>
  <si>
    <t>Maynard, Lavern</t>
  </si>
  <si>
    <t>Lopez Perez, Wilson</t>
  </si>
  <si>
    <t>Tracey, Melrose</t>
  </si>
  <si>
    <t>Pineda, Isauro Eduardo</t>
  </si>
  <si>
    <t>Mendez Cruz, Ambar Nicolle</t>
  </si>
  <si>
    <t>Stugys, Algirdas</t>
  </si>
  <si>
    <t>Castro Alvarez, Fernando</t>
  </si>
  <si>
    <t>Miranda Alvarez, Carlos Geovany</t>
  </si>
  <si>
    <t>Chinchillia Montero, Kevin Esteban</t>
  </si>
  <si>
    <t>Ouedraogo, Ivan</t>
  </si>
  <si>
    <t>Saravia Mejia, Igundani Daneiri</t>
  </si>
  <si>
    <t>Lynch, Maria Corleta</t>
  </si>
  <si>
    <t>Tzep Quiema, Nancy Marisela</t>
  </si>
  <si>
    <t>Arevalo, Aura Maria</t>
  </si>
  <si>
    <t>Slashchev, Sergey</t>
  </si>
  <si>
    <t>Sookdeo, Denanauth</t>
  </si>
  <si>
    <t>Pastor Sierra, Elva</t>
  </si>
  <si>
    <t>Arriola Guity, Leslie</t>
  </si>
  <si>
    <t>Wright, Shellief</t>
  </si>
  <si>
    <t>Melendez Saravia, Brandi Odalis</t>
  </si>
  <si>
    <t>Mejia Saravia, Jilaryn D</t>
  </si>
  <si>
    <t>Fernandez David, Helen E</t>
  </si>
  <si>
    <t>Guillen Suazo, Yeniss E</t>
  </si>
  <si>
    <t>Pastor, Gleisy</t>
  </si>
  <si>
    <t>Cruz, Felipe</t>
  </si>
  <si>
    <t>Diallo, Mohamadou</t>
  </si>
  <si>
    <t>Almubarak, Iyman</t>
  </si>
  <si>
    <t>Gaffoor, Ameer</t>
  </si>
  <si>
    <t>Pyter, Malgorzata</t>
  </si>
  <si>
    <t>Gordon, Claribel</t>
  </si>
  <si>
    <t>Portillo Reyes, Jennifer</t>
  </si>
  <si>
    <t>Bandeira, Joao Paulo</t>
  </si>
  <si>
    <t>Alvarez-Gutierrez, Nilson Jacob</t>
  </si>
  <si>
    <t>Getten, Davon</t>
  </si>
  <si>
    <t>Laoe, Curtis A</t>
  </si>
  <si>
    <t>Betancourt, Nelson</t>
  </si>
  <si>
    <t>Gutierrez-Velasquez, Alexa Jesenia</t>
  </si>
  <si>
    <t>Williams, Shakeem</t>
  </si>
  <si>
    <t>Martinez, Katherin S</t>
  </si>
  <si>
    <t>Paulino, Ismael</t>
  </si>
  <si>
    <t>Soria, Mariana Mora</t>
  </si>
  <si>
    <t>De Leon, Miguelina</t>
  </si>
  <si>
    <t>Montan Escanio, Carlos Jose</t>
  </si>
  <si>
    <t>Subero Yepez, Jose</t>
  </si>
  <si>
    <t>Endraws, Viola</t>
  </si>
  <si>
    <t>Rodriguez, Eulogia</t>
  </si>
  <si>
    <t>Dixon, Andre</t>
  </si>
  <si>
    <t>Oyelohunnu, Olushola</t>
  </si>
  <si>
    <t>Amaya, Rosalina</t>
  </si>
  <si>
    <t>Martinez Amaya, Melvin Alexander</t>
  </si>
  <si>
    <t>Garcia Canales, Shelly</t>
  </si>
  <si>
    <t>Osorio, Delmi</t>
  </si>
  <si>
    <t>Lopez Padilla, Axel J</t>
  </si>
  <si>
    <t>Osorio Padilla, Jasiel O</t>
  </si>
  <si>
    <t>Reyes Castillo, Erlyn</t>
  </si>
  <si>
    <t>Flores Juarez, Sendy F</t>
  </si>
  <si>
    <t>Bernardez Ortiz, Daisy</t>
  </si>
  <si>
    <t>Marin Bernandez, Bacilia</t>
  </si>
  <si>
    <t>Chuquin Bello, Angie</t>
  </si>
  <si>
    <t>Chuqin Bello, Catherin Eliza</t>
  </si>
  <si>
    <t>Avaloy Thomas, Neira Yenina</t>
  </si>
  <si>
    <t>Stewart, Talisa Rushelle</t>
  </si>
  <si>
    <t>Alvarado Ulloa, Maria Noemy</t>
  </si>
  <si>
    <t>Murillo Alvarado, Maria Jose</t>
  </si>
  <si>
    <t>Murillo Alvarado, Jose Antonio</t>
  </si>
  <si>
    <t>Gray, Shanielle Ciara</t>
  </si>
  <si>
    <t>Gray, Tajmar Tyrell</t>
  </si>
  <si>
    <t>Najarro Dominguez, Yojana</t>
  </si>
  <si>
    <t>Flores, Lisbet</t>
  </si>
  <si>
    <t>Ali, Fayyaz</t>
  </si>
  <si>
    <t>Kaur, Gurkamaljit</t>
  </si>
  <si>
    <t>Alvarez Ramirez, Yainia Arali</t>
  </si>
  <si>
    <t>Garzon, Diana</t>
  </si>
  <si>
    <t>Karpiuk, Beata</t>
  </si>
  <si>
    <t>Rahman, Md</t>
  </si>
  <si>
    <t>Crisostomo Enamorado, Brenda Raquel</t>
  </si>
  <si>
    <t>Rodriguez Reyes, Feisel Javier</t>
  </si>
  <si>
    <t>Barrera, Ana Teresa</t>
  </si>
  <si>
    <t>Amador Rios, Necty Carolina</t>
  </si>
  <si>
    <t>Vidal, Isidra</t>
  </si>
  <si>
    <t>Gallardo Vidal, Cinthia Itzel</t>
  </si>
  <si>
    <t>Gallardo Vidal, Juan Jose</t>
  </si>
  <si>
    <t>Cruz Gomez, Mizrahi Iram</t>
  </si>
  <si>
    <t>Cruz Gomez, Linney Sorayssi</t>
  </si>
  <si>
    <t>Cooper-Hurge, Rhonda</t>
  </si>
  <si>
    <t>Santana, Katty</t>
  </si>
  <si>
    <t>Medrano, Lourdes</t>
  </si>
  <si>
    <t>Ostanova, Feruza</t>
  </si>
  <si>
    <t>Vargas, Juana</t>
  </si>
  <si>
    <t>Naji, Soufiane</t>
  </si>
  <si>
    <t>Saha, Atish</t>
  </si>
  <si>
    <t>Saint Louis, Nogah</t>
  </si>
  <si>
    <t>Hernandez Lozano, Maria Argelia</t>
  </si>
  <si>
    <t>Serech Vargas, Juana Araceli</t>
  </si>
  <si>
    <t>Grant, Jahveena</t>
  </si>
  <si>
    <t>Powis, Michael</t>
  </si>
  <si>
    <t>Mourissa Sam, Shanna</t>
  </si>
  <si>
    <t>Kebbeh, Yamundaw</t>
  </si>
  <si>
    <t>Dego, Zemeto</t>
  </si>
  <si>
    <t>Martinez Palacios, Yolany</t>
  </si>
  <si>
    <t>Delcid Andino, Briany Janelssy</t>
  </si>
  <si>
    <t>Brito Ventura, Lorena</t>
  </si>
  <si>
    <t>Samlal, Salena</t>
  </si>
  <si>
    <t>Guedez, Nikko</t>
  </si>
  <si>
    <t>Portillo Valdez, Yeimy</t>
  </si>
  <si>
    <t>Aguilar Gonzalez, Jessica</t>
  </si>
  <si>
    <t>Urbina Licona, Maria Jose</t>
  </si>
  <si>
    <t>Montoya, Josue G</t>
  </si>
  <si>
    <t>Hinestroza Guilaspe, Domingo</t>
  </si>
  <si>
    <t>Baquiax Sapon, Jose Arnoldo</t>
  </si>
  <si>
    <t>Juarez, Claudia</t>
  </si>
  <si>
    <t>Sosa Bernabez, Kilfor Y</t>
  </si>
  <si>
    <t>Castro Prada, Jose</t>
  </si>
  <si>
    <t>Gilbert, Bethany</t>
  </si>
  <si>
    <t>Orellana, Nolvin</t>
  </si>
  <si>
    <t>Barry, Alpha B.</t>
  </si>
  <si>
    <t>Crisanto Ordonez, Keylin S.</t>
  </si>
  <si>
    <t>Soliz Crisanto, Joan</t>
  </si>
  <si>
    <t>Sanchez Arias, Luis A</t>
  </si>
  <si>
    <t>Crespo, Margarita</t>
  </si>
  <si>
    <t>Gemmison, Jestina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</si>
  <si>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</si>
  <si>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</si>
  <si>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</si>
  <si>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</si>
  <si>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</si>
  <si>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</si>
  <si>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</si>
  <si>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</si>
  <si>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</si>
  <si>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</si>
  <si>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Alvares Guallpa, Moises Fernando</t>
  </si>
  <si>
    <t>Lluilema Garcia, Jose Antonio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</si>
  <si>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</si>
  <si>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</si>
  <si>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</si>
  <si>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</si>
  <si>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</si>
  <si>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</si>
  <si>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</si>
  <si>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</si>
  <si>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</si>
  <si>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Mendez, Odilia</t>
  </si>
  <si>
    <t>Husban Issa Husban, Mohammadnour</t>
  </si>
  <si>
    <t>Bernal Bernal, Tamara Estafania</t>
  </si>
  <si>
    <t>Martinez Bonilla, Alma</t>
  </si>
  <si>
    <t>Santana, Indira</t>
  </si>
  <si>
    <t>Martinez Cruz, Ivis Andonis</t>
  </si>
  <si>
    <t>Garcia Zuniga, Julio Jorge</t>
  </si>
  <si>
    <t>Peralta, Leo</t>
  </si>
  <si>
    <t>Koumtog, Madeline I</t>
  </si>
  <si>
    <t>Rabbani, Shammi</t>
  </si>
  <si>
    <t>Gonzalez, Macaria</t>
  </si>
  <si>
    <t>Tax Menchu, Angela</t>
  </si>
  <si>
    <t>Eustate, Landry</t>
  </si>
  <si>
    <t>Altamirano, Juan</t>
  </si>
  <si>
    <t>Bolvito Lopez, Ruben</t>
  </si>
  <si>
    <t>Hernadez Diaz, Cinthia</t>
  </si>
  <si>
    <t>Medina Batiz, Henry Wilfredo</t>
  </si>
  <si>
    <t>Alba Hernandez, Andres Alonso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</si>
  <si>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</si>
  <si>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</si>
  <si>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</si>
  <si>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</si>
  <si>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</si>
  <si>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</si>
  <si>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</si>
  <si>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Regalado, Claudia M</t>
  </si>
  <si>
    <t>Wraich, Sajid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</si>
  <si>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</si>
  <si>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</si>
  <si>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</si>
  <si>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</si>
  <si>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</si>
  <si>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</si>
  <si>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</si>
  <si>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</si>
  <si>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</si>
  <si>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</si>
  <si>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</si>
  <si>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</si>
  <si>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Affoon, Kevin</t>
  </si>
  <si>
    <t>Tenempaguay, Maria</t>
  </si>
  <si>
    <t>Vasquez, Narcisa</t>
  </si>
  <si>
    <t>Saltos, Zahira</t>
  </si>
  <si>
    <t>Arias, Deyanira Y</t>
  </si>
  <si>
    <t>Bolvito Rodriguez, Adali L</t>
  </si>
  <si>
    <t>Viruel, Javier</t>
  </si>
  <si>
    <t>Garcia-Zuniga, Julio Jorge</t>
  </si>
  <si>
    <t>Garcia Williams, Darrell Divanne</t>
  </si>
  <si>
    <t>Mejia, Mildren</t>
  </si>
  <si>
    <t>Ayala, Jesus</t>
  </si>
  <si>
    <t>Castro, Darlin</t>
  </si>
  <si>
    <t>Segovia Castro, Kimberly</t>
  </si>
  <si>
    <t>Sanchez Flores, Umberto</t>
  </si>
  <si>
    <t>Lawrence, Viviana</t>
  </si>
  <si>
    <t>Nikonov, Denys</t>
  </si>
  <si>
    <t>Fernandez-Medina, Keyvan A</t>
  </si>
  <si>
    <t>Bernardez Martinez, Danixy Chaneth</t>
  </si>
  <si>
    <t>Real, Jenny</t>
  </si>
  <si>
    <t>Ramcharan, Rosaline</t>
  </si>
  <si>
    <t>Taylor, Gina</t>
  </si>
  <si>
    <t>Yuganson, Leyda</t>
  </si>
  <si>
    <t>Rivera Pavon, Adalberto</t>
  </si>
  <si>
    <t>Cruz, Xiomara</t>
  </si>
  <si>
    <t>Zelaya, Raquel</t>
  </si>
  <si>
    <t>Moran, Alejandra</t>
  </si>
  <si>
    <t>Arizmendi Garcia, Alexa</t>
  </si>
  <si>
    <t>Benitez, Billay</t>
  </si>
  <si>
    <t>Romero Cabello, Fanny</t>
  </si>
  <si>
    <t>Aquino, Jessica</t>
  </si>
  <si>
    <t>Miranda, Miranda</t>
  </si>
  <si>
    <t>Ramcharan, Albert</t>
  </si>
  <si>
    <t>Medina-Gamboa, Darwin</t>
  </si>
  <si>
    <t>Angamarca, Ana</t>
  </si>
  <si>
    <t>Portto, Claudia</t>
  </si>
  <si>
    <t>Velasquez, Jesus A</t>
  </si>
  <si>
    <t>Ixtos Ortiz, Alonzo A</t>
  </si>
  <si>
    <t>Hernandez Lazaro, Olga Lidia</t>
  </si>
  <si>
    <t>Omoshehin, Victor</t>
  </si>
  <si>
    <t>Garcia Loreto, Isidora</t>
  </si>
  <si>
    <t>Molano, Ruben</t>
  </si>
  <si>
    <t>Alvarez, Moises</t>
  </si>
  <si>
    <t>Zamudio, Carlos Eduardo</t>
  </si>
  <si>
    <t>Vasquez Andrade, Yadira Gabriela</t>
  </si>
  <si>
    <t>Vasquez Portillo, Danna Monserrath</t>
  </si>
  <si>
    <t>Garcia Garcia, Erick Jose Miguel</t>
  </si>
  <si>
    <t>Escorcia, Julio</t>
  </si>
  <si>
    <t>Escorcia, Carlos Alberto</t>
  </si>
  <si>
    <t>Escorcia, Alicia</t>
  </si>
  <si>
    <t>Bolvito Canahui, Baudilio</t>
  </si>
  <si>
    <t>Khun, Retrey</t>
  </si>
  <si>
    <t>Ramirez, Paula L</t>
  </si>
  <si>
    <t>Suazo Guity, Maura Alberta</t>
  </si>
  <si>
    <t>Campos, Guadalupe</t>
  </si>
  <si>
    <t>Monroy Mercado, Geraldine</t>
  </si>
  <si>
    <t>Reyes-Ariola, Naomi E</t>
  </si>
  <si>
    <t>Flores-Reyes, Jerome A</t>
  </si>
  <si>
    <t>Reyes-Ariola, Juan Pablo</t>
  </si>
  <si>
    <t>Zelaya, Shairon P.</t>
  </si>
  <si>
    <t>Zelaya Bernardez, Reymond A.</t>
  </si>
  <si>
    <t>Madrid Milla, Edgardo Josue</t>
  </si>
  <si>
    <t>Bergman, Roman</t>
  </si>
  <si>
    <t>Kaba, Djene</t>
  </si>
  <si>
    <t>Moise, Claudy</t>
  </si>
  <si>
    <t>Palacios-Marin, Lidice M</t>
  </si>
  <si>
    <t>Ram, Seloge Andrea</t>
  </si>
  <si>
    <t>Palacios Argueta, Roney</t>
  </si>
  <si>
    <t>Arias Rodas, Sandra</t>
  </si>
  <si>
    <t>Arias Rodas, Jesus David</t>
  </si>
  <si>
    <t>Ramjattan, Pushpawattee</t>
  </si>
  <si>
    <t>Wilson, Martine</t>
  </si>
  <si>
    <t>Andino Castro, Angelica</t>
  </si>
  <si>
    <t>Salazar, Rinor</t>
  </si>
  <si>
    <t>Wisner, Cenatus</t>
  </si>
  <si>
    <t>Guzman, Bryan</t>
  </si>
  <si>
    <t>Rivaz-Guzman, Sharbie C.</t>
  </si>
  <si>
    <t>Evelyn, Siobhan</t>
  </si>
  <si>
    <t>Ayala, Lesby</t>
  </si>
  <si>
    <t>Guo, Yan Li</t>
  </si>
  <si>
    <t>De Leon Valdez, Sandra J</t>
  </si>
  <si>
    <t>Asobi, Pauline</t>
  </si>
  <si>
    <t>Onguko, Hazel H</t>
  </si>
  <si>
    <t>Volquez, Miguel</t>
  </si>
  <si>
    <t>Soliz Crisanto, Deybi E.</t>
  </si>
  <si>
    <t>Lino, Fernando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</si>
  <si>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</si>
  <si>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</si>
  <si>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</si>
  <si>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</si>
  <si>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</si>
  <si>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</si>
  <si>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</si>
  <si>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</si>
  <si>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</si>
  <si>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</si>
  <si>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Caballero, Milton Leonel</t>
  </si>
  <si>
    <t>Villanueva, Edin</t>
  </si>
  <si>
    <t>Villanueva Inestroza, Italo</t>
  </si>
  <si>
    <t>Rivas, Luis</t>
  </si>
  <si>
    <t>Leon Martinez, Remedios</t>
  </si>
  <si>
    <t>Kuzmin, Elizaveta</t>
  </si>
  <si>
    <t>Heath, Jeve</t>
  </si>
  <si>
    <t>Tulloch, Horace</t>
  </si>
  <si>
    <t>Arzu Garcia, Jemilson A</t>
  </si>
  <si>
    <t>Perez Avila, Yrma</t>
  </si>
  <si>
    <t>Cardenas, Julio</t>
  </si>
  <si>
    <t>Pratt, Wale</t>
  </si>
  <si>
    <t>Kaur, Harwinder</t>
  </si>
  <si>
    <t>Domingo Sebastian, Ana Griselda</t>
  </si>
  <si>
    <t>Domingo Sebastian, Almi Maidi</t>
  </si>
  <si>
    <t>Martinez, Khaleb</t>
  </si>
  <si>
    <t>Martinez, Jessica M</t>
  </si>
  <si>
    <t>Masevhe, Aifheli</t>
  </si>
  <si>
    <t>Bravo Galvez, Darelyn</t>
  </si>
  <si>
    <t>Norales, Sheilan</t>
  </si>
  <si>
    <t>Norales, Sherry</t>
  </si>
  <si>
    <t>Castillo Marin, Maura</t>
  </si>
  <si>
    <t>Olmedo Zaracay, Rodrigo</t>
  </si>
  <si>
    <t>Suazo Castillo, Glenda D.</t>
  </si>
  <si>
    <t>Suazo Castillo, Melvis S.</t>
  </si>
  <si>
    <t>Suazo Castillo, Nady C.</t>
  </si>
  <si>
    <t>Castillo, Sherler</t>
  </si>
  <si>
    <t>Gonzalez Irias, Dennis A</t>
  </si>
  <si>
    <t>Peart, Amoy Tiffany Keydene</t>
  </si>
  <si>
    <t>Diaz Espitia, Carlos Enrique</t>
  </si>
  <si>
    <t>Bermudez Marin, Laureen Yarleth</t>
  </si>
  <si>
    <t>Martinez Marin, Angel Francisco</t>
  </si>
  <si>
    <t>Velasquez, Yachuan P.</t>
  </si>
  <si>
    <t>Lopez Suazo, Hailyn Yulissa</t>
  </si>
  <si>
    <t>Figueroa, Jesus</t>
  </si>
  <si>
    <t>Escamilla, Hermenegilda</t>
  </si>
  <si>
    <t>Tiul-Tec, Manuel</t>
  </si>
  <si>
    <t>Tiul-Xol, Aura G</t>
  </si>
  <si>
    <t>Perez, William</t>
  </si>
  <si>
    <t>Gomez Velasquez, Carolina</t>
  </si>
  <si>
    <t>Sarmiento Martinez, Denia</t>
  </si>
  <si>
    <t>Villanueva, Dayany M.</t>
  </si>
  <si>
    <t>Tkachuk, Maksym</t>
  </si>
  <si>
    <t>Marte Tejeda, Gabina</t>
  </si>
  <si>
    <t>Osorio Andino, LLoid Samir</t>
  </si>
  <si>
    <t>Vela Chiche, Edvin Jose David</t>
  </si>
  <si>
    <t>Rodriguez, Ramon Antonio</t>
  </si>
  <si>
    <t>Sac-Guarchaj, Maria E</t>
  </si>
  <si>
    <t>Sac-Guarchaj, Arleth D</t>
  </si>
  <si>
    <t>Ramirez Candia, Vannessa</t>
  </si>
  <si>
    <t>Vidals Ramirez, Tiberio Noe</t>
  </si>
  <si>
    <t>Lalin-Millers, Ivan W</t>
  </si>
  <si>
    <t>Pena Millers, Maycol E.</t>
  </si>
  <si>
    <t>Rozhdestvenskiy, Alexey</t>
  </si>
  <si>
    <t>Calderon Rodriguez, Angel Esau</t>
  </si>
  <si>
    <t>Ojeda De Nunez, Marisol</t>
  </si>
  <si>
    <t>Cortez Cabrera, Lester Yobanny</t>
  </si>
  <si>
    <t>Zaracay de Olmedo, Maria</t>
  </si>
  <si>
    <t>Bravo Galvez, Ana N.</t>
  </si>
  <si>
    <t>Egboh, Favour C</t>
  </si>
  <si>
    <t>Alcocer, Cruz Isaias</t>
  </si>
  <si>
    <t>Alekseev, Aleksei</t>
  </si>
  <si>
    <t>Rowe, Leonardo</t>
  </si>
  <si>
    <t>Guzman Feliciano, Junior R</t>
  </si>
  <si>
    <t>Palacios Dolmo, Brithany</t>
  </si>
  <si>
    <t>Rodriguez, Fernando A</t>
  </si>
  <si>
    <t>Benjamin, Charlene</t>
  </si>
  <si>
    <t>Chica Rosales, Jency Pamela</t>
  </si>
  <si>
    <t>Contreras Rosales, Eddie</t>
  </si>
  <si>
    <t>Burgan, Leon</t>
  </si>
  <si>
    <t>Millers, Kimborly</t>
  </si>
  <si>
    <t>Hernandez Gonzalez, Guillermina</t>
  </si>
  <si>
    <t>Mendoza Mejia, Angel Josue</t>
  </si>
  <si>
    <t>Garzona Zelada, Juan D</t>
  </si>
  <si>
    <t>Zelada Torres, Brenda C</t>
  </si>
  <si>
    <t>Mai (for Yanzhen He), Jianfang</t>
  </si>
  <si>
    <t>Castillo Valencia, Santos Engelberto</t>
  </si>
  <si>
    <t>Mercuri Santos, Atilio</t>
  </si>
  <si>
    <t>Fulgencio, Nicole</t>
  </si>
  <si>
    <t>Mendoza, Sandra Lorena</t>
  </si>
  <si>
    <t>Mendoza, Ingris Emeli</t>
  </si>
  <si>
    <t>Mendoza, Isabella</t>
  </si>
  <si>
    <t>Perez, Edward</t>
  </si>
  <si>
    <t>Pulgar Fuenmayor, Dervis Jose</t>
  </si>
  <si>
    <t>Abuziyad, Rami</t>
  </si>
  <si>
    <t>Veloz Cabral, Robinson R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</si>
  <si>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</si>
  <si>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</si>
  <si>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</si>
  <si>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</si>
  <si>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</si>
  <si>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</si>
  <si>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</si>
  <si>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</si>
  <si>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Torales, Dulce M.</t>
  </si>
  <si>
    <t>Lin, Qian</t>
  </si>
  <si>
    <t>Ruiz Diaz, Thiago Marcelo</t>
  </si>
  <si>
    <t>Muhaidat, Sami A</t>
  </si>
  <si>
    <t>Andrade Loor, Lisseth Viviana</t>
  </si>
  <si>
    <t>Calderon, Miguel Angel</t>
  </si>
  <si>
    <t>Herrera Rodas, Jose Luis</t>
  </si>
  <si>
    <t>Dorlice, Marlene</t>
  </si>
  <si>
    <t>Narsingh, Astrando Gregory</t>
  </si>
  <si>
    <t>Pedro, Najimdin</t>
  </si>
  <si>
    <t>Bourdeau, Myrtha</t>
  </si>
  <si>
    <t>Raymundo Cedillo, Jacinto Gerardo</t>
  </si>
  <si>
    <t>Natt, Dillman</t>
  </si>
  <si>
    <t>Rodriguez Reyes, Susan</t>
  </si>
  <si>
    <t>Vasquez, Joselin</t>
  </si>
  <si>
    <t>Carvajal Perez, Orlando</t>
  </si>
  <si>
    <t>Edwards Smith, Antoinette</t>
  </si>
  <si>
    <t>Tineo, Marleny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</si>
  <si>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</si>
  <si>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</si>
  <si>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</si>
  <si>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</si>
  <si>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</si>
  <si>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Salgado Rodriguez, Ashley Guadalupe</t>
  </si>
  <si>
    <t>Herrera, Concepcion</t>
  </si>
  <si>
    <t>Giraldo, Noely</t>
  </si>
  <si>
    <t>Kozina, Anastasiia</t>
  </si>
  <si>
    <t>Larionova, Larisa</t>
  </si>
  <si>
    <t>Richards, Vielka</t>
  </si>
  <si>
    <t>Morales Cox, Mynor</t>
  </si>
  <si>
    <t>Chen, Baoming</t>
  </si>
  <si>
    <t>Diaz, Carolina A</t>
  </si>
  <si>
    <t>La Cruz Lucero, Jhoismar Karina</t>
  </si>
  <si>
    <t>Avila Gutierrez, Glenda Melisa</t>
  </si>
  <si>
    <t>Shiwmangal, Ariel</t>
  </si>
  <si>
    <t>Chukwu, Ramseyn</t>
  </si>
  <si>
    <t>Medina, Jerlin Lino</t>
  </si>
  <si>
    <t>Orellana, Anisthon Meza</t>
  </si>
  <si>
    <t>Kante, Aissata</t>
  </si>
  <si>
    <t>Lino Flores, Lisi Yaneira</t>
  </si>
  <si>
    <t>Orellana, Keylin</t>
  </si>
  <si>
    <t>Ayala Hernandez, Billy A</t>
  </si>
  <si>
    <t>Hernandez, Glenda Y</t>
  </si>
  <si>
    <t>Guzman, Johanna</t>
  </si>
  <si>
    <t>Castro  Lalin, Darien</t>
  </si>
  <si>
    <t>Castro Lalin, Dania M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</si>
  <si>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</si>
  <si>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</si>
  <si>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</si>
  <si>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</si>
  <si>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</si>
  <si>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</si>
  <si>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Areola, Treasure Oluwatoniloba</t>
  </si>
  <si>
    <t>Feliz, Edwin</t>
  </si>
  <si>
    <t>Agyare, Benjamin</t>
  </si>
  <si>
    <t>Abel, Godwill</t>
  </si>
  <si>
    <t>Castilla, Jose Luis</t>
  </si>
  <si>
    <t>Cortez Galicia, Marvin Yobany</t>
  </si>
  <si>
    <t>Cupil Istazuy, Ismael</t>
  </si>
  <si>
    <t>Bagadzhiyan, Roman</t>
  </si>
  <si>
    <t>St. Juste, Philipa</t>
  </si>
  <si>
    <t>Menchu-Garcia, Vicenta</t>
  </si>
  <si>
    <t>Calel Hernandez, Pedro</t>
  </si>
  <si>
    <t>Baizan, Graciana E.</t>
  </si>
  <si>
    <t>Valerio Garcia, Dixon Amilcar</t>
  </si>
  <si>
    <t>Coy, Reina</t>
  </si>
  <si>
    <t>Ramjattan, Deonarine</t>
  </si>
  <si>
    <t>Alvarez Zelaya, Dariela</t>
  </si>
  <si>
    <t>Lascano Miranda, Maria I</t>
  </si>
  <si>
    <t>Prokhorko, Igor</t>
  </si>
  <si>
    <t>Bencosme, Jonathan</t>
  </si>
  <si>
    <t>Castillo, Ilda M</t>
  </si>
  <si>
    <t>Pedroza, Ada</t>
  </si>
  <si>
    <t>Chauca, Hector</t>
  </si>
  <si>
    <t>Medor, Gabriel</t>
  </si>
  <si>
    <t>Melendez, Elly F</t>
  </si>
  <si>
    <t>Francis, Isaiah</t>
  </si>
  <si>
    <t>Galindo, Cecilia</t>
  </si>
  <si>
    <t>Polanco, Ana</t>
  </si>
  <si>
    <t>Martinez-Ramirez, Stephannie Natalia</t>
  </si>
  <si>
    <t>Mohammed, Navino</t>
  </si>
  <si>
    <t>Sween, Tyrell</t>
  </si>
  <si>
    <t>Blanco Baptista, Douglas Kendrid</t>
  </si>
  <si>
    <t>Garcia Blanco, Edgar Eli</t>
  </si>
  <si>
    <t>Fernandez Soto, Juan Pablo</t>
  </si>
  <si>
    <t>Garcia Blanco, Leslie Alejandra</t>
  </si>
  <si>
    <t>Gibson, Yamira</t>
  </si>
  <si>
    <t>Boureima, Hawa</t>
  </si>
  <si>
    <t>Kosenkov, Andrei</t>
  </si>
  <si>
    <t>Valencia Balbuena, Anai</t>
  </si>
  <si>
    <t>Rodriguez, Gloria</t>
  </si>
  <si>
    <t>Hill, Joelynn</t>
  </si>
  <si>
    <t>Lewis Thomas, Rochell</t>
  </si>
  <si>
    <t>Granda, Freddy</t>
  </si>
  <si>
    <t>Bello, Tatiana</t>
  </si>
  <si>
    <t>Diarra, Kalibou</t>
  </si>
  <si>
    <t>Alvarado, Erick</t>
  </si>
  <si>
    <t>Delgado Cardozo, Randy</t>
  </si>
  <si>
    <t>Nunez, Edgar</t>
  </si>
  <si>
    <t>Tisol Arias, Meison Ivan</t>
  </si>
  <si>
    <t>Martinez, Sara</t>
  </si>
  <si>
    <t>Muneton Ramirez, Juan A</t>
  </si>
  <si>
    <t>Gomez Funes, Alison A</t>
  </si>
  <si>
    <t>Rosemberg, Kayly</t>
  </si>
  <si>
    <t>Otavalo, Erika Farah</t>
  </si>
  <si>
    <t>Traore-Miller, Abibatou</t>
  </si>
  <si>
    <t>Mikhailova, Mariia</t>
  </si>
  <si>
    <t>Gawin, Kat</t>
  </si>
  <si>
    <t>Peterson, Yessenia</t>
  </si>
  <si>
    <t>Pobedash, Sergei</t>
  </si>
  <si>
    <t>Pobedash, Andrei</t>
  </si>
  <si>
    <t>Feliz, Sol</t>
  </si>
  <si>
    <t>Calderon, Jose</t>
  </si>
  <si>
    <t>Alquorazy, Abed</t>
  </si>
  <si>
    <t>Herrera, Juan Luis</t>
  </si>
  <si>
    <t>Nunez, Jose</t>
  </si>
  <si>
    <t>Bodden, Andrew</t>
  </si>
  <si>
    <t>Rodriguez, Ramon</t>
  </si>
  <si>
    <t>Munoz, Ana Sofia</t>
  </si>
  <si>
    <t>Fernandes, Erica</t>
  </si>
  <si>
    <t>Benacio, Jorge</t>
  </si>
  <si>
    <t>Elazab, Mohamed Haytham Ebrahim Mohamed</t>
  </si>
  <si>
    <t>Marte, Joanna</t>
  </si>
  <si>
    <t>Cuello Avila, Ender Exgles</t>
  </si>
  <si>
    <t>Pylypenko, Maksym</t>
  </si>
  <si>
    <t>Francis, Felecia</t>
  </si>
  <si>
    <t>Sushinsky, Svetlana</t>
  </si>
  <si>
    <t>Guevara, Ashley</t>
  </si>
  <si>
    <t>Louis, Sirenayka</t>
  </si>
  <si>
    <t>Mohamed, Benkada</t>
  </si>
  <si>
    <t>Ramirez Velazco, Alondra E</t>
  </si>
  <si>
    <t>Perez, Rolando Antonio</t>
  </si>
  <si>
    <t>Carrero, Raysa</t>
  </si>
  <si>
    <t>Geraldo, Yenifer</t>
  </si>
  <si>
    <t>Jerez, Gregoria</t>
  </si>
  <si>
    <t>Lopez, Cheyra</t>
  </si>
  <si>
    <t>Javier, Maria D</t>
  </si>
  <si>
    <t>Godoy Minchala, Thalia</t>
  </si>
  <si>
    <t>Charles, Kenneth</t>
  </si>
  <si>
    <t>Wallace, Kathyann</t>
  </si>
  <si>
    <t>Alegre, Juana Isabel</t>
  </si>
  <si>
    <t>Ambrose, George</t>
  </si>
  <si>
    <t>Grey, Ian</t>
  </si>
  <si>
    <t>Sanchez, Placido</t>
  </si>
  <si>
    <t>Aucapina de Quito, Mirian</t>
  </si>
  <si>
    <t>Murashov, Mikhail</t>
  </si>
  <si>
    <t>Mai (for Jiayu Mai), Jianfang</t>
  </si>
  <si>
    <t>De Mota, Abel</t>
  </si>
  <si>
    <t>Roopnarine, Yushwant</t>
  </si>
  <si>
    <t>Pryce, Odane</t>
  </si>
  <si>
    <t>Mesa, John</t>
  </si>
  <si>
    <t>Lee, Donovan</t>
  </si>
  <si>
    <t>Salazar de Marroquin, Silvia Yanira</t>
  </si>
  <si>
    <t>Lu, Sophie</t>
  </si>
  <si>
    <t>Abreu, Yanely</t>
  </si>
  <si>
    <t>Martinez, Jackelin</t>
  </si>
  <si>
    <t>Basdeo, Mahadeo</t>
  </si>
  <si>
    <t>Bonnet, John R.</t>
  </si>
  <si>
    <t>Basdeo, Basmattie</t>
  </si>
  <si>
    <t>Andrade Vijil, Karla</t>
  </si>
  <si>
    <t>Comacchio, Joseph</t>
  </si>
  <si>
    <t>Castillo Garcia, Helen Sabina</t>
  </si>
  <si>
    <t>Ollarvez Pinto, Yecenia</t>
  </si>
  <si>
    <t>Conde Ollarvez, Jorgelys Valentina</t>
  </si>
  <si>
    <t>Conde Ollarvez, Mariangel Ariadna</t>
  </si>
  <si>
    <t>Ambrocio Chic, Jose Abel</t>
  </si>
  <si>
    <t>Chic Hernandez, Lidia</t>
  </si>
  <si>
    <t>Ochoa Chic, Cristhofer Alejandro</t>
  </si>
  <si>
    <t>Torija, Jose</t>
  </si>
  <si>
    <t>Borja, Alonso</t>
  </si>
  <si>
    <t>Ruiz, Jorge</t>
  </si>
  <si>
    <t>Harripaul, Seuraragee</t>
  </si>
  <si>
    <t>Cortes Valdez, Beatriz</t>
  </si>
  <si>
    <t>Mangal, Kristener</t>
  </si>
  <si>
    <t>Brodrick, Samantha E</t>
  </si>
  <si>
    <t>Matveev, Boris</t>
  </si>
  <si>
    <t>Mendoza Ramos, Jostin Alexander</t>
  </si>
  <si>
    <t>Pujols, Hilda</t>
  </si>
  <si>
    <t>Green-Ewer, Willona M</t>
  </si>
  <si>
    <t>Quizhpi, Manuel Jesus</t>
  </si>
  <si>
    <t>Ali, Shabana</t>
  </si>
  <si>
    <t>Mann, Jenielle</t>
  </si>
  <si>
    <t>Abreu de Fuentes, Roxanna</t>
  </si>
  <si>
    <t>Ramirez, Jenny</t>
  </si>
  <si>
    <t>Chinchilla, Cely</t>
  </si>
  <si>
    <t>Torres Romero, Bessy Patricia</t>
  </si>
  <si>
    <t>Villalba, Fidel</t>
  </si>
  <si>
    <t>Petrov, Andrei</t>
  </si>
  <si>
    <t>Ishimskiy, Dmitriy</t>
  </si>
  <si>
    <t>Pearce, Robert G</t>
  </si>
  <si>
    <t>Tello, Alvaro</t>
  </si>
  <si>
    <t>Narvaez Padilla, Mirian</t>
  </si>
  <si>
    <t>Merino, Juan</t>
  </si>
  <si>
    <t>Nadolskiy, Victor</t>
  </si>
  <si>
    <t>Garanin, Aleksei</t>
  </si>
  <si>
    <t>Bulik, Lucyna</t>
  </si>
  <si>
    <t>Deloach, Carmen</t>
  </si>
  <si>
    <t>Pereaux, Adalgisa</t>
  </si>
  <si>
    <t>Sani, Ali</t>
  </si>
  <si>
    <t>Benitez Sarmiento, Thaily</t>
  </si>
  <si>
    <t>Ortiz, Yenssi</t>
  </si>
  <si>
    <t>Urushadze, Vakhtang</t>
  </si>
  <si>
    <t>Aleman Montoya, Cintya</t>
  </si>
  <si>
    <t>Gonzalez, Deborah</t>
  </si>
  <si>
    <t>Taveras, Ignacio</t>
  </si>
  <si>
    <t>McLaughlin, Jon-Michael</t>
  </si>
  <si>
    <t>McLaughlin, Jon-Michela</t>
  </si>
  <si>
    <t>Abreu Nunez, David</t>
  </si>
  <si>
    <t>Morales Najarro, Wilder</t>
  </si>
  <si>
    <t>Restrepo Soto, Maria D</t>
  </si>
  <si>
    <t>Nachande, Judith</t>
  </si>
  <si>
    <t>Escamilla Ortega, Rafael</t>
  </si>
  <si>
    <t>Pineyro Rodriguez, Samantha</t>
  </si>
  <si>
    <t>Briceño, Jose Conde</t>
  </si>
  <si>
    <t>Annan, Wilhemina</t>
  </si>
  <si>
    <t>Seeram, Mohanee</t>
  </si>
  <si>
    <t>Lindo Urbina, Yamilette</t>
  </si>
  <si>
    <t>Maya Gonzalez, Leticia</t>
  </si>
  <si>
    <t>Snyder, Jorey</t>
  </si>
  <si>
    <t>Lyu, Lin</t>
  </si>
  <si>
    <t>Marcelin, Milord</t>
  </si>
  <si>
    <t>Lopez Murillo, Jennyfer</t>
  </si>
  <si>
    <t>Opasina, Omolara</t>
  </si>
  <si>
    <t>Curtis, Pamela S</t>
  </si>
  <si>
    <t>Zacaria Martin, Maria</t>
  </si>
  <si>
    <t>Lopez Zaldivar, Tania</t>
  </si>
  <si>
    <t>Shenouda, Samy</t>
  </si>
  <si>
    <t>Edmund, Shawn</t>
  </si>
  <si>
    <t>Benedit, Esmy</t>
  </si>
  <si>
    <t>Sagastume Lagos, Denis Estanly</t>
  </si>
  <si>
    <t>Gutierrez Fernandez, Digna Ondina</t>
  </si>
  <si>
    <t>Garcia Martinez, Nilda</t>
  </si>
  <si>
    <t>Paiva, Maria De F</t>
  </si>
  <si>
    <t>Toribio de Rosario, Yocasta</t>
  </si>
  <si>
    <t>Guzman, Rosa</t>
  </si>
  <si>
    <t>Correa Valencia, Luz Jannet</t>
  </si>
  <si>
    <t>Pobedash, Ella</t>
  </si>
  <si>
    <t>Moran Silva, Kevin Jose</t>
  </si>
  <si>
    <t>Moran Silva, Yendi Gabriela</t>
  </si>
  <si>
    <t>Sochtohom de Bulux, Juana P.</t>
  </si>
  <si>
    <t>Bulux Soch, Yoselin E.</t>
  </si>
  <si>
    <t>Kaur, Satinder</t>
  </si>
  <si>
    <t>Oliva, Marcela Alejandra</t>
  </si>
  <si>
    <t>Oliva, Daniel Alejandro</t>
  </si>
  <si>
    <t>Vivas, Elvis</t>
  </si>
  <si>
    <t>de la Cruz Zumbana, Maria Carmen</t>
  </si>
  <si>
    <t>Vivas, Segundo</t>
  </si>
  <si>
    <t>Saidykhan, Fatoumata</t>
  </si>
  <si>
    <t>Perez, Yolanda</t>
  </si>
  <si>
    <t>Anuforo, Alex</t>
  </si>
  <si>
    <t>Mitchell, Christine</t>
  </si>
  <si>
    <t>Beharry, Angela</t>
  </si>
  <si>
    <t>Ramirez, Cassandra</t>
  </si>
  <si>
    <t>Lewis, Kijana</t>
  </si>
  <si>
    <t>Mendez Escalante, Angelica</t>
  </si>
  <si>
    <t>Flores, Jeferson D.</t>
  </si>
  <si>
    <t>Alvarez, Isabel</t>
  </si>
  <si>
    <t>Batiz Martinez, Kirad Y</t>
  </si>
  <si>
    <t>Elmore, Andrea</t>
  </si>
  <si>
    <t>Nwokoro, Mark</t>
  </si>
  <si>
    <t>Lora, Angel Guillermo</t>
  </si>
  <si>
    <t>Lopez de Souza, Adalberto</t>
  </si>
  <si>
    <t>Martinez Casildo, Sairi Judith</t>
  </si>
  <si>
    <t>Mejia Mena, Franklin Edenilson</t>
  </si>
  <si>
    <t>Ozhohin, Oleh</t>
  </si>
  <si>
    <t>Diarte, Junior</t>
  </si>
  <si>
    <t>Vasquez, Yissel</t>
  </si>
  <si>
    <t>Martinez Suazo, Naidelin</t>
  </si>
  <si>
    <t>Patlan Leon, Ricardo Alain</t>
  </si>
  <si>
    <t>Patlan Leon, Derek Yamil</t>
  </si>
  <si>
    <t>Quashie, Rudolph</t>
  </si>
  <si>
    <t>Alvarez Rosales, Carlos Daniel</t>
  </si>
  <si>
    <t>Alvarez Lobo, Carlos Roberto</t>
  </si>
  <si>
    <t>Mejia Mena, Cristian Josue</t>
  </si>
  <si>
    <t>Mejia Mena, Itzel Jareth</t>
  </si>
  <si>
    <t>Jimenez Pelico, Henry Juvencio</t>
  </si>
  <si>
    <t>Velasquez Cal, Cristina M</t>
  </si>
  <si>
    <t>Dekhterman, Alex</t>
  </si>
  <si>
    <t>Sanchez Cruz, Yorlenni</t>
  </si>
  <si>
    <t>Barry, Alpha Boubacar</t>
  </si>
  <si>
    <t>Lovos Monterroza, Daniela Abigail</t>
  </si>
  <si>
    <t>Barrera Lovos, Liseth Del C.</t>
  </si>
  <si>
    <t>Celestin, Guy</t>
  </si>
  <si>
    <t>Cabrera, Valentina</t>
  </si>
  <si>
    <t>Hernandez, Melissa</t>
  </si>
  <si>
    <t>Ibrahim, Mervot</t>
  </si>
  <si>
    <t>Cutz, Jose Daniel</t>
  </si>
  <si>
    <t>Gerrado Cuevas, Belky</t>
  </si>
  <si>
    <t>Morris, Orville O</t>
  </si>
  <si>
    <t>Davis, Jeron</t>
  </si>
  <si>
    <t>Serech Vargas, William Eduardo</t>
  </si>
  <si>
    <t>Silva Queche, Blanca Amarilis</t>
  </si>
  <si>
    <t>Cruceta, Patzy Jose</t>
  </si>
  <si>
    <t>Guzman Cruceta, Princess</t>
  </si>
  <si>
    <t>Peralta Cruceta, Perla Jane</t>
  </si>
  <si>
    <t>Snow, Dawn A</t>
  </si>
  <si>
    <t>Roberts, Shanique</t>
  </si>
  <si>
    <t>Roberts, Khadija</t>
  </si>
  <si>
    <t>Gonzalez, Argelia</t>
  </si>
  <si>
    <t>Ramirez, Aleyda</t>
  </si>
  <si>
    <t>Quezada Lopez, Willianny</t>
  </si>
  <si>
    <t>Quezada Lopez, Wiridiam</t>
  </si>
  <si>
    <t>Ramirez, Francisco</t>
  </si>
  <si>
    <t>Smith, Raphia S</t>
  </si>
  <si>
    <t>Navas, Anyi</t>
  </si>
  <si>
    <t>Zermeno, Guadalupe</t>
  </si>
  <si>
    <t>Riaz, Rooha</t>
  </si>
  <si>
    <t>Vargas, Harry</t>
  </si>
  <si>
    <t>Campos Abreu, Elsa</t>
  </si>
  <si>
    <t>Garcia, Ivonne</t>
  </si>
  <si>
    <t>Dominguez Cruz, Blanca</t>
  </si>
  <si>
    <t>Zelaya, Wendy</t>
  </si>
  <si>
    <t>Sadni, Laila Z.</t>
  </si>
  <si>
    <t>Dandu, Kavitha</t>
  </si>
  <si>
    <t>Redden, Brit</t>
  </si>
  <si>
    <t>De Jesus Gonzalez, Juan Jacinto</t>
  </si>
  <si>
    <t>Arias Arevalo, Maritza</t>
  </si>
  <si>
    <t>Alvarez Enriquez, Abel</t>
  </si>
  <si>
    <t>Ilin, Pavel</t>
  </si>
  <si>
    <t>Doukoure, Ibrahim</t>
  </si>
  <si>
    <t>Ingram, Luis</t>
  </si>
  <si>
    <t>Hernandez, Andreina</t>
  </si>
  <si>
    <t>Izadi, Mohammad</t>
  </si>
  <si>
    <t>Rowana, Gangaya</t>
  </si>
  <si>
    <t>Rowana, Premwatie</t>
  </si>
  <si>
    <t>Lovos, Santos F.</t>
  </si>
  <si>
    <t>Hassin, Ali</t>
  </si>
  <si>
    <t>Wilks, Lenora</t>
  </si>
  <si>
    <t>Sagastume Lagos, Denis Mauricio</t>
  </si>
  <si>
    <t>Velazquez, Rafaela</t>
  </si>
  <si>
    <t>Tzul Tiu, Fernando Isaac</t>
  </si>
  <si>
    <t>Tzul Tiu, Guidman Aaron</t>
  </si>
  <si>
    <t>Tzul-Tiu, Guidman Aaron</t>
  </si>
  <si>
    <t>Fernandez, Aquiles</t>
  </si>
  <si>
    <t>Cooper, Lucy</t>
  </si>
  <si>
    <t>Zhong, Saiyin</t>
  </si>
  <si>
    <t>Urbaez, Juana</t>
  </si>
  <si>
    <t>Delgado Mendez, Juan</t>
  </si>
  <si>
    <t>Kamara, Fatmata</t>
  </si>
  <si>
    <t>Lopez Ramirez, Karla Valentina</t>
  </si>
  <si>
    <t>Benedit Martinez, Esmy</t>
  </si>
  <si>
    <t>Francisco Duran, Andry</t>
  </si>
  <si>
    <t>Medina Andrade, Gelyn N</t>
  </si>
  <si>
    <t>Guo, Yan li</t>
  </si>
  <si>
    <t>Ulybina, Anna</t>
  </si>
  <si>
    <t>Vidal Pastor, Dionila</t>
  </si>
  <si>
    <t>Reyes, Camelia</t>
  </si>
  <si>
    <t>Ramirez, Ruben</t>
  </si>
  <si>
    <t>Corrales Mayorga, Juilo Secundino</t>
  </si>
  <si>
    <t>Masesa, Gyslaine</t>
  </si>
  <si>
    <t>Vargas, Celia</t>
  </si>
  <si>
    <t>Jairam, Gaffiloom</t>
  </si>
  <si>
    <t>Linares, Candelaria</t>
  </si>
  <si>
    <t>Bernardez Zapata, Cinthia</t>
  </si>
  <si>
    <t>Bernardez Zapata, Vilma</t>
  </si>
  <si>
    <t>Modise, Michael</t>
  </si>
  <si>
    <t>Vilchez Cotrina, Vanessa</t>
  </si>
  <si>
    <t>Randolph, Gleetha</t>
  </si>
  <si>
    <t>Basdeo, Soamnauph</t>
  </si>
  <si>
    <t>Cisneros, Trifosa</t>
  </si>
  <si>
    <t>Guerrero Cabanas, Erika</t>
  </si>
  <si>
    <t>Ruiz Campaz, Alicia</t>
  </si>
  <si>
    <t>Tavarez, Josefina</t>
  </si>
  <si>
    <t>Jimenez, Eduvigis</t>
  </si>
  <si>
    <t>Sanchez Melendez, Kevin Asaac</t>
  </si>
  <si>
    <t>Elembaev, Ruslan</t>
  </si>
  <si>
    <t>Navas Contreras, Anyi Alicia</t>
  </si>
  <si>
    <t>Diallo, Saifoulaye</t>
  </si>
  <si>
    <t>Veitch, Damion A</t>
  </si>
  <si>
    <t>Chakrane, Dounia</t>
  </si>
  <si>
    <t>Alvarez, Ana</t>
  </si>
  <si>
    <t>Rodriguez, Maria</t>
  </si>
  <si>
    <t>Martinez, Francisca</t>
  </si>
  <si>
    <t>Molina, Rossie</t>
  </si>
  <si>
    <t>Bernard, Paula</t>
  </si>
  <si>
    <t>Acosta Cuervo, Leidy</t>
  </si>
  <si>
    <t>Salas, Leonardo</t>
  </si>
  <si>
    <t>Sanwirja, Joyce Ann</t>
  </si>
  <si>
    <t>Antunez, Yesenia</t>
  </si>
  <si>
    <t>Hernandez-Gomez, Jordan Loyan</t>
  </si>
  <si>
    <t>Torres Garcia, Keyden</t>
  </si>
  <si>
    <t>Rogers, Owen</t>
  </si>
  <si>
    <t>Veras, Johanna</t>
  </si>
  <si>
    <t>Vazquez Olivos, Honoria</t>
  </si>
  <si>
    <t>Barrientos, Pablo</t>
  </si>
  <si>
    <t>Tyo, Igor</t>
  </si>
  <si>
    <t>Morgan, Fayez</t>
  </si>
  <si>
    <t>Rivas, Jaime</t>
  </si>
  <si>
    <t>Flores Garcia, Jenny Ave</t>
  </si>
  <si>
    <t>Roveda, Eduardo</t>
  </si>
  <si>
    <t>Ramos, Valentina</t>
  </si>
  <si>
    <t>Molina, Francisca</t>
  </si>
  <si>
    <t>Hernandez Lazaro, Olga</t>
  </si>
  <si>
    <t>Ibeneme, David</t>
  </si>
  <si>
    <t>Yamundaw, Kebbeh</t>
  </si>
  <si>
    <t>Venceslau, Fernando</t>
  </si>
  <si>
    <t>Bejja, Kamal</t>
  </si>
  <si>
    <t>Foster, Ifakay</t>
  </si>
  <si>
    <t>Poma, Edwin P.</t>
  </si>
  <si>
    <t>Robinson, Shantall</t>
  </si>
  <si>
    <t>Batiz Martinez, Ana Vilma</t>
  </si>
  <si>
    <t>Lopez Benitez, Israel</t>
  </si>
  <si>
    <t>Lipovski, Olga</t>
  </si>
  <si>
    <t>Jabour, Myriam</t>
  </si>
  <si>
    <t>Tenorio, Edgar</t>
  </si>
  <si>
    <t>Narvaez, Nancy</t>
  </si>
  <si>
    <t>Azcona, Fabio</t>
  </si>
  <si>
    <t>Tong, Wanzhe</t>
  </si>
  <si>
    <t>Villano, Aureliano</t>
  </si>
  <si>
    <t>Wang, Dongzhi</t>
  </si>
  <si>
    <t>Joof, Babou</t>
  </si>
  <si>
    <t>Guachiac, Reyna</t>
  </si>
  <si>
    <t>Carriel, Martha</t>
  </si>
  <si>
    <t>Frank, Patrick</t>
  </si>
  <si>
    <t>Aguirre Gomez, Dora Fries</t>
  </si>
  <si>
    <t>Cortes Reyes, Kairos Evelyn</t>
  </si>
  <si>
    <t>Reid, Jervaughn F</t>
  </si>
  <si>
    <t>Bazan Basurto, Benita</t>
  </si>
  <si>
    <t>Ilomudio, Jolaade S</t>
  </si>
  <si>
    <t>Martinez Fernandez, Ibelinn Vanessa</t>
  </si>
  <si>
    <t>Mejia Martinez, Ryan Janil</t>
  </si>
  <si>
    <t>Clarke, Dennis</t>
  </si>
  <si>
    <t>Hernandez, Viviana</t>
  </si>
  <si>
    <t>Zea, Wilson</t>
  </si>
  <si>
    <t>Marin Gonzalez, Dinia T</t>
  </si>
  <si>
    <t>Castillo Reyes, Julio</t>
  </si>
  <si>
    <t>Medina-Ramos, Belkis</t>
  </si>
  <si>
    <t>Searles, Raymond</t>
  </si>
  <si>
    <t>Echeverria, Marlin</t>
  </si>
  <si>
    <t>Alvarado Murillo, Delcy</t>
  </si>
  <si>
    <t>Robles Portillo, Suyapa</t>
  </si>
  <si>
    <t>Flores, Meynardo</t>
  </si>
  <si>
    <t>Benitez Reyes, Jose Florentino</t>
  </si>
  <si>
    <t>Pellicone, Marissa</t>
  </si>
  <si>
    <t>Taveras, Mariana</t>
  </si>
  <si>
    <t>Xavier, Martha</t>
  </si>
  <si>
    <t>Zheng, Guifang</t>
  </si>
  <si>
    <t>Farciert, Araceli</t>
  </si>
  <si>
    <t>Adoumbaye, Bernice</t>
  </si>
  <si>
    <t>Thompson, Gawhane</t>
  </si>
  <si>
    <t>Martinez, Mattues Eliazar</t>
  </si>
  <si>
    <t>Martinez, Michael A</t>
  </si>
  <si>
    <t>White Jr., Stanley O</t>
  </si>
  <si>
    <t>Hernandez, Nalda</t>
  </si>
  <si>
    <t>Bonilla, Jose A</t>
  </si>
  <si>
    <t>Mieses, Cesareo</t>
  </si>
  <si>
    <t>Diallo, Thierno</t>
  </si>
  <si>
    <t>Figueroa, Jose</t>
  </si>
  <si>
    <t>Peralta de Torres, Genara</t>
  </si>
  <si>
    <t>Syrtsov, Arkadii</t>
  </si>
  <si>
    <t>Bibi, Rukhasana</t>
  </si>
  <si>
    <t>Vazquez, Adolfo</t>
  </si>
  <si>
    <t>Foster, Virginia O</t>
  </si>
  <si>
    <t>Muller, Sharmilla C</t>
  </si>
  <si>
    <t>Reyes Garcia, Jonathan</t>
  </si>
  <si>
    <t>Reyes Ortega, Heidy Yadira</t>
  </si>
  <si>
    <t>Hidalgo Reyes, Erika Joneydi</t>
  </si>
  <si>
    <t>Ovbiebo, Stanley</t>
  </si>
  <si>
    <t>Sagastume Pineda, Denis Mauricio</t>
  </si>
  <si>
    <t>Lagos Martinez, Karla Loany</t>
  </si>
  <si>
    <t>Gomez Miranda, Xiomara</t>
  </si>
  <si>
    <t>Bonilla Palacios, Glenda</t>
  </si>
  <si>
    <t>Souare, Mamadou</t>
  </si>
  <si>
    <t>Rodriguez, Silvestre</t>
  </si>
  <si>
    <t>Pashaeva, Alina</t>
  </si>
  <si>
    <t>Mora, Logan</t>
  </si>
  <si>
    <t>Maldonado, Jonathan L</t>
  </si>
  <si>
    <t>Tiozang, Vincent (Helen)</t>
  </si>
  <si>
    <t>Tiozang, Vincent (Solomon)</t>
  </si>
  <si>
    <t>Tiozang, Vincent (Jones)</t>
  </si>
  <si>
    <t>Wasembeck, Joseph M</t>
  </si>
  <si>
    <t>Cortes  Xicohtencatl, Guadalupe</t>
  </si>
  <si>
    <t>Miller, Jogo</t>
  </si>
  <si>
    <t>Rojano-Godoy, Carmen</t>
  </si>
  <si>
    <t>Daniel, Kathleen</t>
  </si>
  <si>
    <t>Perez Peralta, Kilsa J</t>
  </si>
  <si>
    <t>Brade, Kevin</t>
  </si>
  <si>
    <t>Rasulov, Odiljon</t>
  </si>
  <si>
    <t>Barahona Ruiz, Jean Jafeth</t>
  </si>
  <si>
    <t>Verde Mendoza, Maynor Jareth</t>
  </si>
  <si>
    <t>Verde Mendoza, Maynor Janeth</t>
  </si>
  <si>
    <t>Cruz Gomez, Mizrahi Iram Hosseffet</t>
  </si>
  <si>
    <t>Perez Herrera, Magdalena</t>
  </si>
  <si>
    <t>Ixmata, Maria</t>
  </si>
  <si>
    <t>Adam, Sharnay</t>
  </si>
  <si>
    <t>Jimenez, Yliana</t>
  </si>
  <si>
    <t>Andrade Vigil, Evelin Joselin</t>
  </si>
  <si>
    <t>Jeudi, Cleevens</t>
  </si>
  <si>
    <t>Ramirez, Marcos</t>
  </si>
  <si>
    <t>Salazar Guevara, Kenia Yamilet</t>
  </si>
  <si>
    <t>Santos Salazar, Esdras Omar</t>
  </si>
  <si>
    <t>Ochoa, Lubys</t>
  </si>
  <si>
    <t>Tiu-Ordonez, Emiliana Cecilia</t>
  </si>
  <si>
    <t>Cordova, Vilma</t>
  </si>
  <si>
    <t>Mejia, Hector</t>
  </si>
  <si>
    <t>Mejia, Maria</t>
  </si>
  <si>
    <t>David, Maria</t>
  </si>
  <si>
    <t>Costly, Marleen</t>
  </si>
  <si>
    <t>Mendoza Lameda, Geogeson Jose</t>
  </si>
  <si>
    <t>Baptiste, Carlton</t>
  </si>
  <si>
    <t>Naing, Moekyaw</t>
  </si>
  <si>
    <t>Silva Vazquez, Gabriela</t>
  </si>
  <si>
    <t>Aziz, Nauman</t>
  </si>
  <si>
    <t>Ordonez, Juana</t>
  </si>
  <si>
    <t>Lopez Lecaros, Luis Alberto</t>
  </si>
  <si>
    <t>Djonovic, Aise</t>
  </si>
  <si>
    <t>Lin, Fengjin</t>
  </si>
  <si>
    <t>Anderson, Ryando</t>
  </si>
  <si>
    <t>Alfonso, Mary</t>
  </si>
  <si>
    <t>Carlina, Pheches</t>
  </si>
  <si>
    <t>Velchez, Andrea</t>
  </si>
  <si>
    <t>Titre, Aldia</t>
  </si>
  <si>
    <t>Cokeker, Erbil</t>
  </si>
  <si>
    <t>Perez, Jeison</t>
  </si>
  <si>
    <t>Green, Nicola</t>
  </si>
  <si>
    <t>Velasquez, Cristopher</t>
  </si>
  <si>
    <t>Narine, Boysie</t>
  </si>
  <si>
    <t>Guerrero, Walter</t>
  </si>
  <si>
    <t>Ozah, Oluwasegun</t>
  </si>
  <si>
    <t>Chagdurov, Aleksandr</t>
  </si>
  <si>
    <t>Luma, Valery</t>
  </si>
  <si>
    <t>Carino Bravo, Severiana Basilia</t>
  </si>
  <si>
    <t>Ramirez, Jonas</t>
  </si>
  <si>
    <t>Naula Bermeo, Hilda</t>
  </si>
  <si>
    <t>Castrejon, Karla Elizabeth</t>
  </si>
  <si>
    <t>Nasser, Amadou</t>
  </si>
  <si>
    <t>Escobar Avilez, Micaelina</t>
  </si>
  <si>
    <t>Arzu Colon, Jairo</t>
  </si>
  <si>
    <t>Leon, Carolina A</t>
  </si>
  <si>
    <t>Sulca, Jaime</t>
  </si>
  <si>
    <t>Suazo Guerrero, Darlin</t>
  </si>
  <si>
    <t>Hosokawa, Midori</t>
  </si>
  <si>
    <t>Alegre Kopp, Sheila E</t>
  </si>
  <si>
    <t>Cid-Ortiz, Brisa Hinelda</t>
  </si>
  <si>
    <t>Portella Arteaga, Milena Teresa</t>
  </si>
  <si>
    <t>Sanic Tax, Sindi Mishel</t>
  </si>
  <si>
    <t>McFarlane, Izabela</t>
  </si>
  <si>
    <t>Caicedo, Gloria</t>
  </si>
  <si>
    <t>Barrientes Contreras, Angelica</t>
  </si>
  <si>
    <t>Cabral Pichardo, Mayker Jose</t>
  </si>
  <si>
    <t>Cabral Pichardo, Yaneysi Yamilet</t>
  </si>
  <si>
    <t>Gonzalez, Macaria Marbella</t>
  </si>
  <si>
    <t>Parra, Luis A</t>
  </si>
  <si>
    <t>Waongho, Zita-Irene</t>
  </si>
  <si>
    <t>Loja Ugana, Olga Lucia</t>
  </si>
  <si>
    <t>Flores Maria, Jorge</t>
  </si>
  <si>
    <t>Santos Galvez, Gilberto</t>
  </si>
  <si>
    <t>Chinchilla, Lorenza</t>
  </si>
  <si>
    <t>Daniels, Carol</t>
  </si>
  <si>
    <t>Duarte, Angelica</t>
  </si>
  <si>
    <t>Sewsankar, Bagwattie</t>
  </si>
  <si>
    <t>Tineo Nunez, Ramon</t>
  </si>
  <si>
    <t>Todd, Jorge</t>
  </si>
  <si>
    <t>Escamilla Hernandez, Rocio</t>
  </si>
  <si>
    <t>Almonte, Dulce</t>
  </si>
  <si>
    <t>Barrera, Lorenza</t>
  </si>
  <si>
    <t>Barcia, Victor</t>
  </si>
  <si>
    <t>Mcintosh, Kashima</t>
  </si>
  <si>
    <t>Kwabiah, Fahhad</t>
  </si>
  <si>
    <t>Osorio Andino, Levis Yanibis</t>
  </si>
  <si>
    <t>Quijije, Randy</t>
  </si>
  <si>
    <t>Galleguillos, Ismael E</t>
  </si>
  <si>
    <t>Morrison, Manley</t>
  </si>
  <si>
    <t>Taher, Abu</t>
  </si>
  <si>
    <t>Guzman, Rosario</t>
  </si>
  <si>
    <t>Cuello, Robelisa</t>
  </si>
  <si>
    <t>Roberts, Damian Bevon</t>
  </si>
  <si>
    <t>Jara, Ruth</t>
  </si>
  <si>
    <t>Hernandez, Emma G</t>
  </si>
  <si>
    <t>Ustinov, Igor</t>
  </si>
  <si>
    <t>Peña, Ronaldo DeJuan</t>
  </si>
  <si>
    <t>Maradiaga, Dilan</t>
  </si>
  <si>
    <t>Garcia David, Brenda Eliz</t>
  </si>
  <si>
    <t>Marquez Mejia, Yorleni Sarahi</t>
  </si>
  <si>
    <t>Castro, Luis</t>
  </si>
  <si>
    <t>Eugene, Betty</t>
  </si>
  <si>
    <t>Isanoa, Diane</t>
  </si>
  <si>
    <t>Montoya, Greisy</t>
  </si>
  <si>
    <t>Esteban Perez, Esmeralda</t>
  </si>
  <si>
    <t>Valencia, Jorge</t>
  </si>
  <si>
    <t>Carreras, Domingo A.</t>
  </si>
  <si>
    <t>Rosales, Adriana</t>
  </si>
  <si>
    <t>Namina Sislema, Cristobal</t>
  </si>
  <si>
    <t>Cepeda De Leon, Zhindel</t>
  </si>
  <si>
    <t>Peralta, Maria</t>
  </si>
  <si>
    <t>Chacin, Johan</t>
  </si>
  <si>
    <t>Pena, William</t>
  </si>
  <si>
    <t>Rodriguez, Sandra Cecilia</t>
  </si>
  <si>
    <t>Mashihi Mutondo Ngoma, Mymy</t>
  </si>
  <si>
    <t>Velasquez, Jessica</t>
  </si>
  <si>
    <t>Kolyvanov, Vitalii</t>
  </si>
  <si>
    <t>Gonzalez, Milena</t>
  </si>
  <si>
    <t>Nwe, Waine</t>
  </si>
  <si>
    <t>Pastor Mejia, Asencion</t>
  </si>
  <si>
    <t>Robinson, Christopher</t>
  </si>
  <si>
    <t>Williams, Tino</t>
  </si>
  <si>
    <t>Bhuiyan, Mobassir</t>
  </si>
  <si>
    <t>Burke, Marcus</t>
  </si>
  <si>
    <t>Flores Arzu, Charlian A</t>
  </si>
  <si>
    <t>Yacono, Gabriel N</t>
  </si>
  <si>
    <t>Hernandez, Primitivo</t>
  </si>
  <si>
    <t>Manuel, Osvaldo</t>
  </si>
  <si>
    <t>Small, Anthony</t>
  </si>
  <si>
    <t>Izquierdo, Leonardo</t>
  </si>
  <si>
    <t>Acosta, Yosvany</t>
  </si>
  <si>
    <t>Jarjou, Emily Olimatou</t>
  </si>
  <si>
    <t>Papalotzi-Garcia, Judith</t>
  </si>
  <si>
    <t>Fariño, Douglas</t>
  </si>
  <si>
    <t>Valencia, Eliecer</t>
  </si>
  <si>
    <t>Markalson, Roman</t>
  </si>
  <si>
    <t>Na, Moon Woo</t>
  </si>
  <si>
    <t>Jaquez de Peralta, Selena</t>
  </si>
  <si>
    <t>Das, Soma</t>
  </si>
  <si>
    <t>Williams, Althea Rollock</t>
  </si>
  <si>
    <t>Milon, Popi</t>
  </si>
  <si>
    <t>Taylor, Sathelle K</t>
  </si>
  <si>
    <t>Bucup Calel, Vicente Fernando</t>
  </si>
  <si>
    <t>Youssef, Mohamed</t>
  </si>
  <si>
    <t>Pena Hernandez, Martha</t>
  </si>
  <si>
    <t>Cabrera, Angelita</t>
  </si>
  <si>
    <t>Leon Sanchez, Claudia</t>
  </si>
  <si>
    <t>Bernard, Donald</t>
  </si>
  <si>
    <t>Colon, Johanna</t>
  </si>
  <si>
    <t>Chmielewski, Danuta</t>
  </si>
  <si>
    <t>Perez, Amalia</t>
  </si>
  <si>
    <t>Navarro Perez, Nadia</t>
  </si>
  <si>
    <t>Diaz de Almonte, Samaria A.</t>
  </si>
  <si>
    <t>Montero, Perla E</t>
  </si>
  <si>
    <t>Guzman Romero, Gloris</t>
  </si>
  <si>
    <t>Castillo, Luis</t>
  </si>
  <si>
    <t>Zamora Paisano, Michelle</t>
  </si>
  <si>
    <t>Luna Burgos, Meledy A</t>
  </si>
  <si>
    <t>Nunez, Ysabel</t>
  </si>
  <si>
    <t>Delgado Cantarero, Eliseo Sergio</t>
  </si>
  <si>
    <t>Nugra Saeteros, Maria</t>
  </si>
  <si>
    <t>Contreras, Rufina</t>
  </si>
  <si>
    <t>Reyes Paulino, Maria Del Rosario</t>
  </si>
  <si>
    <t>Hidalgo, Eris</t>
  </si>
  <si>
    <t>Hidalgo Reyes, Jostin Omar</t>
  </si>
  <si>
    <t>Deen, Isaac</t>
  </si>
  <si>
    <t>Brathwaite, Winston Widmark</t>
  </si>
  <si>
    <t>Wefum, Joy</t>
  </si>
  <si>
    <t>Tinuade, Tinuola</t>
  </si>
  <si>
    <t>Romero Gonzalez, Susana B</t>
  </si>
  <si>
    <t>Alejo, Sofia</t>
  </si>
  <si>
    <t>Mckenzie, Nuchette</t>
  </si>
  <si>
    <t>Theophile, Jeanie P</t>
  </si>
  <si>
    <t>Feliz, Kenny</t>
  </si>
  <si>
    <t>Mijangos Sanchez, Melida Irma Ariseth</t>
  </si>
  <si>
    <t>Logan, Hunter</t>
  </si>
  <si>
    <t>Lopez, Amy</t>
  </si>
  <si>
    <t>Bermejo, Rosa Maria</t>
  </si>
  <si>
    <t>Dias Anderson, Samantha</t>
  </si>
  <si>
    <t>Diallo, Tiguidanke</t>
  </si>
  <si>
    <t>Lalmahamad, Arrefa</t>
  </si>
  <si>
    <t>Akuson, Richard</t>
  </si>
  <si>
    <t>Ramos, Marva</t>
  </si>
  <si>
    <t>Ramos, Peter</t>
  </si>
  <si>
    <t>Grullon, Paula</t>
  </si>
  <si>
    <t>Matthew, Grayson E</t>
  </si>
  <si>
    <t>Diaz-Urbina, Ana Francis</t>
  </si>
  <si>
    <t>Mishurov, Anatoly</t>
  </si>
  <si>
    <t>Velasquez, Zonia</t>
  </si>
  <si>
    <t>Hidalgo, Dileny</t>
  </si>
  <si>
    <t>De Leon Duran, Henry</t>
  </si>
  <si>
    <t>Mejia, Danny B</t>
  </si>
  <si>
    <t>Goncalves, Sandra</t>
  </si>
  <si>
    <t>Camacho, Alejandro</t>
  </si>
  <si>
    <t>Edwards, Deshawn</t>
  </si>
  <si>
    <t>Sall, Aguibou</t>
  </si>
  <si>
    <t>Mohan, Joseph D</t>
  </si>
  <si>
    <t>Payano Diaz, Marilyn</t>
  </si>
  <si>
    <t>Singh, Andrew</t>
  </si>
  <si>
    <t>Aragon, Michelle</t>
  </si>
  <si>
    <t>Avalos Alfallo, Lulu</t>
  </si>
  <si>
    <t>Zebulon, Andrea</t>
  </si>
  <si>
    <t>Dominguez, Martina</t>
  </si>
  <si>
    <t>Azeeze, Kamroon N</t>
  </si>
  <si>
    <t>Chand, Cameel</t>
  </si>
  <si>
    <t>Rivero, Pedro</t>
  </si>
  <si>
    <t>Zapata Florez, Mario</t>
  </si>
  <si>
    <t>Kuzmin, Valeriya</t>
  </si>
  <si>
    <t>Hylton, Novellette</t>
  </si>
  <si>
    <t>Dia, Ibrahima</t>
  </si>
  <si>
    <t>Castro, Jazmin</t>
  </si>
  <si>
    <t>Castro, Marjorie</t>
  </si>
  <si>
    <t>Martinez, Massiel</t>
  </si>
  <si>
    <t>Yetman, Jan-Adelle</t>
  </si>
  <si>
    <t>Lopez, Carmen C</t>
  </si>
  <si>
    <t>Doukoure, Mariam Soumahoro</t>
  </si>
  <si>
    <t>Doukoure, Aissatou</t>
  </si>
  <si>
    <t>Doukoure, Kadidia</t>
  </si>
  <si>
    <t>Tomekowou, Jessica</t>
  </si>
  <si>
    <t>Casco Lopez, Laura Isabel</t>
  </si>
  <si>
    <t>Laguna, Jair</t>
  </si>
  <si>
    <t>Yetman, Dale</t>
  </si>
  <si>
    <t>Peralta Perez, Maria Blanca</t>
  </si>
  <si>
    <t>Morel Diaz, Jose C</t>
  </si>
  <si>
    <t>Martinez, Hkristian</t>
  </si>
  <si>
    <t>Cacho Fernandez, Fausta</t>
  </si>
  <si>
    <t>Garcia Campos, Elvia</t>
  </si>
  <si>
    <t>Gonzalez, Ramon R</t>
  </si>
  <si>
    <t>Blanco, Julia</t>
  </si>
  <si>
    <t>Ardolic, Dzmile</t>
  </si>
  <si>
    <t>Zapata, Elvin</t>
  </si>
  <si>
    <t>Peterson, Denise</t>
  </si>
  <si>
    <t>Jimenez, Angeles</t>
  </si>
  <si>
    <t>Lugo, Doris</t>
  </si>
  <si>
    <t>Cruz, Milagros</t>
  </si>
  <si>
    <t>Shamuratova, Alsu</t>
  </si>
  <si>
    <t>Barrera, Raquel</t>
  </si>
  <si>
    <t>Buchanan, Denzel</t>
  </si>
  <si>
    <t>Riggon, Renaldo</t>
  </si>
  <si>
    <t>Almanzar, Maria E</t>
  </si>
  <si>
    <t>Soza, Yensi</t>
  </si>
  <si>
    <t>Victorio, Leo</t>
  </si>
  <si>
    <t>Johnson, Nesi</t>
  </si>
  <si>
    <t>Da Silva, Darwin</t>
  </si>
  <si>
    <t>Flores Mira, Glenda Esmeralda</t>
  </si>
  <si>
    <t>Hutchinson, Pinky</t>
  </si>
  <si>
    <t>James, Christopher</t>
  </si>
  <si>
    <t>Dasse, Laurette</t>
  </si>
  <si>
    <t>Alikulov, Rustam</t>
  </si>
  <si>
    <t>Gutierrez-Martinez, Elda Maritza</t>
  </si>
  <si>
    <t>Hussein, Waseem</t>
  </si>
  <si>
    <t>Molina, Saidy</t>
  </si>
  <si>
    <t>Gomez Cortez, Damaris Carina</t>
  </si>
  <si>
    <t>Eustate de Suarez, Marilelby</t>
  </si>
  <si>
    <t>Shaybout, Mervat</t>
  </si>
  <si>
    <t>Leon, Yoseli</t>
  </si>
  <si>
    <t>Desir, Gigi</t>
  </si>
  <si>
    <t>Santos, Perla Cristal</t>
  </si>
  <si>
    <t>Cuc-Garcia, Jose</t>
  </si>
  <si>
    <t>Medina Fuentes, Stephanie Nicoll</t>
  </si>
  <si>
    <t>Alatorre, Marcela E</t>
  </si>
  <si>
    <t>Pleshkanev, Alexander</t>
  </si>
  <si>
    <t>Guo, Lingfang</t>
  </si>
  <si>
    <t>Contreras, Lizdy</t>
  </si>
  <si>
    <t>Samassekou, Khadim</t>
  </si>
  <si>
    <t>Zhalgas, Madina</t>
  </si>
  <si>
    <t>Kuzmin, Aleksei</t>
  </si>
  <si>
    <t>Loots, Talia</t>
  </si>
  <si>
    <t>Garcia Ramirez, Tomasa</t>
  </si>
  <si>
    <t>Satchell, Peta Gay</t>
  </si>
  <si>
    <t>Marshall, Johanna</t>
  </si>
  <si>
    <t>Zapata Ballesteros, Maria</t>
  </si>
  <si>
    <t>Seavichay, Tania</t>
  </si>
  <si>
    <t>Talibakhunova, Shirin Adilovna</t>
  </si>
  <si>
    <t>Mendoza Varela, Kenia Dalila</t>
  </si>
  <si>
    <t>Centeno, Nadia</t>
  </si>
  <si>
    <t>Hamidou, Aboubakari</t>
  </si>
  <si>
    <t>Mattis, Jabokie J</t>
  </si>
  <si>
    <t>Farez, Leslie</t>
  </si>
  <si>
    <t>Curtis, Nicholas</t>
  </si>
  <si>
    <t>Sandoval Rivera, Nestor</t>
  </si>
  <si>
    <t>Sandoval Polanco, Xochiltl</t>
  </si>
  <si>
    <t>Lewis, Kenisha</t>
  </si>
  <si>
    <t>Polanco Arrieta, Patricia</t>
  </si>
  <si>
    <t>Bermudez, Luis</t>
  </si>
  <si>
    <t>Myrie, Otis R</t>
  </si>
  <si>
    <t>Blanco Ortiz, Edinson</t>
  </si>
  <si>
    <t>Martinez Gutierrez, Gustavo</t>
  </si>
  <si>
    <t>Sementsova, Ekaterina</t>
  </si>
  <si>
    <t>Fam, Marven</t>
  </si>
  <si>
    <t>Louis, Jean</t>
  </si>
  <si>
    <t>Mena de Mejia, Rosa Maria</t>
  </si>
  <si>
    <t>Soto Gil, Roberto De Jesus</t>
  </si>
  <si>
    <t>Arieta, Roberto</t>
  </si>
  <si>
    <t>Fernandez, Kendra Y</t>
  </si>
  <si>
    <t>Abdul Rahman, Issaka</t>
  </si>
  <si>
    <t>Ryabokonov, Denis</t>
  </si>
  <si>
    <t>Simonov, Denis</t>
  </si>
  <si>
    <t>Kunene, Sikhumbuzo</t>
  </si>
  <si>
    <t>Bartley, Miriam</t>
  </si>
  <si>
    <t>Moran, Maribel</t>
  </si>
  <si>
    <t>Cumberbatch, Carla</t>
  </si>
  <si>
    <t>Bakayoko, Bill</t>
  </si>
  <si>
    <t>Mendoza, Nicanor</t>
  </si>
  <si>
    <t>Glasgow, Sherryann</t>
  </si>
  <si>
    <t>Moran Juarez, Jesus</t>
  </si>
  <si>
    <t>Ortiz, Henry H</t>
  </si>
  <si>
    <t>Singh, Nikita</t>
  </si>
  <si>
    <t>Mahabir, Sadia</t>
  </si>
  <si>
    <t>Garcia Chavez, Riccy Mabel</t>
  </si>
  <si>
    <t>Hernandez Romero, Citlaly</t>
  </si>
  <si>
    <t>Solis Romero, Yancy</t>
  </si>
  <si>
    <t>Payton, Gloria</t>
  </si>
  <si>
    <t>Loza, Karina</t>
  </si>
  <si>
    <t>Granados, Lorena Yanira</t>
  </si>
  <si>
    <t>Rojas, Julio Cesar</t>
  </si>
  <si>
    <t>Sop, Christiane Yolande</t>
  </si>
  <si>
    <t>Suru, Betty</t>
  </si>
  <si>
    <t>Hanley, Robert</t>
  </si>
  <si>
    <t>Diaby, Madala Djibril</t>
  </si>
  <si>
    <t>Bello, Carolina</t>
  </si>
  <si>
    <t>Jack, Paulina</t>
  </si>
  <si>
    <t>Quezada, Teresa</t>
  </si>
  <si>
    <t>Ramos Rosales, Carlos Javier</t>
  </si>
  <si>
    <t>Diamond, Curtis</t>
  </si>
  <si>
    <t>Harripaul, Mohanie</t>
  </si>
  <si>
    <t>Alvarez, Jose</t>
  </si>
  <si>
    <t>Kapran, Aleksandr</t>
  </si>
  <si>
    <t>Parungo, Angelbert</t>
  </si>
  <si>
    <t>Hernandez, Yeny</t>
  </si>
  <si>
    <t>Liang, Ding Wu</t>
  </si>
  <si>
    <t>Gonzalez, Lisette</t>
  </si>
  <si>
    <t>Morales, Esperanza</t>
  </si>
  <si>
    <t>Maurizaca, Jhennifer E</t>
  </si>
  <si>
    <t>Annayev, Seydi</t>
  </si>
  <si>
    <t>Kabore, Evrou</t>
  </si>
  <si>
    <t>Vargas, Veronica</t>
  </si>
  <si>
    <t>Diaby, Lacina</t>
  </si>
  <si>
    <t>Mera, Javier</t>
  </si>
  <si>
    <t>Simon (Jeremiah HAYNES), Rhonda</t>
  </si>
  <si>
    <t>Simon (Jada HAYNES), Rhonda</t>
  </si>
  <si>
    <t>Simon (Jameisha HAYNES), Rhonda</t>
  </si>
  <si>
    <t>Hanson, Kimanie</t>
  </si>
  <si>
    <t>Pogbene, Alidou</t>
  </si>
  <si>
    <t>Martinez-Lopez, Mario R.</t>
  </si>
  <si>
    <t>Rauseo Quijada, Mayerlin del Carmen</t>
  </si>
  <si>
    <t>Leslie, Romaine</t>
  </si>
  <si>
    <t>Foster, Jamal</t>
  </si>
  <si>
    <t>Hinds, Jamar</t>
  </si>
  <si>
    <t>Scott, Deidra</t>
  </si>
  <si>
    <t>Mohammad, Ahmad A</t>
  </si>
  <si>
    <t>Velasquez, Angela</t>
  </si>
  <si>
    <t>Maurizaca, Maria</t>
  </si>
  <si>
    <t>De La Cruz, Niurka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</si>
  <si>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</si>
  <si>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</si>
  <si>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</si>
  <si>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</si>
  <si>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</si>
  <si>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</si>
  <si>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</si>
  <si>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</si>
  <si>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</si>
  <si>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Perez, Maria</t>
  </si>
  <si>
    <t>Gomez, Maria</t>
  </si>
  <si>
    <t>Grant, Vera</t>
  </si>
  <si>
    <t>Herreros, Asuncion</t>
  </si>
  <si>
    <t>Cupid, Keisha</t>
  </si>
  <si>
    <t>Nunez Mora, Ana Mercedes</t>
  </si>
  <si>
    <t>Deolio, Jose</t>
  </si>
  <si>
    <t>Pavia Neri, Cupertino Cliserio</t>
  </si>
  <si>
    <t>Reyes Gonzalez, Jose David</t>
  </si>
  <si>
    <t>Paulino Garcia, Asuncion</t>
  </si>
  <si>
    <t>Acevedo, Slins</t>
  </si>
  <si>
    <t>Gonzalez-Colon, Airina</t>
  </si>
  <si>
    <t>Alvarez, Arnold Juvencio</t>
  </si>
  <si>
    <t>Rodriguez Cepeda, Ezequiel</t>
  </si>
  <si>
    <t>Ali, Paula A</t>
  </si>
  <si>
    <t>De Jesus, Georgina</t>
  </si>
  <si>
    <t>Ramos Felipe, Rosa</t>
  </si>
  <si>
    <t>Dauletzharova, Takhmina</t>
  </si>
  <si>
    <t>Decevic, Sanela</t>
  </si>
  <si>
    <t>Hill, Sophia</t>
  </si>
  <si>
    <t>Portilla, Maria</t>
  </si>
  <si>
    <t>McTaggard, Stanley R</t>
  </si>
  <si>
    <t>Freeman, Paul</t>
  </si>
  <si>
    <t>Patk, Justyna</t>
  </si>
  <si>
    <t>Abreu, Leida</t>
  </si>
  <si>
    <t>Valera, Joan</t>
  </si>
  <si>
    <t>Henry, Leisha</t>
  </si>
  <si>
    <t>Chowdhury, Lovely</t>
  </si>
  <si>
    <t>Rojas, Tiffany</t>
  </si>
  <si>
    <t>Perez Vicente, Erick</t>
  </si>
  <si>
    <t>Perez Vicente, Luis Geovany</t>
  </si>
  <si>
    <t>Forbes, Margaret</t>
  </si>
  <si>
    <t>Charles, Piklin</t>
  </si>
  <si>
    <t>Ferrera Dominguez, Masciel</t>
  </si>
  <si>
    <t>Tejeda, Flor</t>
  </si>
  <si>
    <t>Torres, Tania</t>
  </si>
  <si>
    <t>Rybak, Adam</t>
  </si>
  <si>
    <t>Marine De Vargas, Maria</t>
  </si>
  <si>
    <t>Camacho Silven, Eulalia Dinora</t>
  </si>
  <si>
    <t>Correa, Sorledy</t>
  </si>
  <si>
    <t>Bissoon, Twinkle</t>
  </si>
  <si>
    <t>Benneth, Sarahlee</t>
  </si>
  <si>
    <t>Berrada, Kamar</t>
  </si>
  <si>
    <t>Canales Enamorado, Oscar</t>
  </si>
  <si>
    <t>Enamorado-Hernandez, Heidy</t>
  </si>
  <si>
    <t>Diaz - De Collado, Maria</t>
  </si>
  <si>
    <t>Tavarez, Reinaldo</t>
  </si>
  <si>
    <t>Agustin, Elizabeth</t>
  </si>
  <si>
    <t>Herrera, Gilda</t>
  </si>
  <si>
    <t>Mercedes Moreno, Berkis Rafelina Alexandra</t>
  </si>
  <si>
    <t>Ordonez Rivera, Martha A</t>
  </si>
  <si>
    <t>De Rojas, Maria G</t>
  </si>
  <si>
    <t>Aguilar Martinez, Jesus</t>
  </si>
  <si>
    <t>Bravo Lopez, Daniela</t>
  </si>
  <si>
    <t>Vasilev, Rustam</t>
  </si>
  <si>
    <t>Lopez, Tania</t>
  </si>
  <si>
    <t>Guzman Montero, Ramon A.</t>
  </si>
  <si>
    <t>Kavaliou, Aliaksandr</t>
  </si>
  <si>
    <t>Satchell, Flowers A</t>
  </si>
  <si>
    <t>Martinez, Gladis</t>
  </si>
  <si>
    <t>Toribio Castillo, Cindy P</t>
  </si>
  <si>
    <t>Guerrero, Gloria</t>
  </si>
  <si>
    <t>Guimaraes Da Silva, Elineide</t>
  </si>
  <si>
    <t>Ba, Abou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</si>
  <si>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</si>
  <si>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</si>
  <si>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</si>
  <si>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</si>
  <si>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</si>
  <si>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</si>
  <si>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</si>
  <si>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Li, Ning</t>
  </si>
  <si>
    <t>Flores, Yireni</t>
  </si>
  <si>
    <t>Owusu, Lydia</t>
  </si>
  <si>
    <t>Cruz Pacheco, Sahory</t>
  </si>
  <si>
    <t>Cruz Pacheco, Jennifer</t>
  </si>
  <si>
    <t>Cruz Pacheco, Joseph</t>
  </si>
  <si>
    <t>Khoury, Rafael</t>
  </si>
  <si>
    <t>Reid, Barbara</t>
  </si>
  <si>
    <t>Reyez Diaz, Geremias</t>
  </si>
  <si>
    <t>Lopez, Olga L</t>
  </si>
  <si>
    <t>Montemayor, Elizabeth</t>
  </si>
  <si>
    <t>West, Stephannie</t>
  </si>
  <si>
    <t>Iru, Keisha</t>
  </si>
  <si>
    <t>Nieto Duque, Blanca</t>
  </si>
  <si>
    <t>Kadir, Fadia</t>
  </si>
  <si>
    <t>Manzano, Erasmo</t>
  </si>
  <si>
    <t>Clemente Ramirez, Anderson Neptaly</t>
  </si>
  <si>
    <t>Chavez, Maria</t>
  </si>
  <si>
    <t>Pichardo, Elizabeth</t>
  </si>
  <si>
    <t>Tomas Martinez, Edna Marina</t>
  </si>
  <si>
    <t>Amaya Perez, Belladira</t>
  </si>
  <si>
    <t>Doblado Vasquez, Karla</t>
  </si>
  <si>
    <t>Metilelu, Oluwaseyi A</t>
  </si>
  <si>
    <t>Mansour, Wesam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</si>
  <si>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</si>
  <si>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</si>
  <si>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</si>
  <si>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</si>
  <si>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</si>
  <si>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</si>
  <si>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Hicks, Denise</t>
  </si>
  <si>
    <t>Borga, Manuel</t>
  </si>
  <si>
    <t>Polanco Estrella, Consuelo A</t>
  </si>
  <si>
    <t>Gaymon, Jarrett</t>
  </si>
  <si>
    <t>Sweeny, Barbara</t>
  </si>
  <si>
    <t>Castillo, Nilsa</t>
  </si>
  <si>
    <t>Toribio, Xiomara</t>
  </si>
  <si>
    <t>Santos de Hernandez, Rosalba</t>
  </si>
  <si>
    <t>Shields, Annette</t>
  </si>
  <si>
    <t>Ruiz Escobar, Eudocia A</t>
  </si>
  <si>
    <t>Gomez, Lino</t>
  </si>
  <si>
    <t>Suero, Jhony</t>
  </si>
  <si>
    <t>Vidals, Aaron F</t>
  </si>
  <si>
    <t>Rosendo, Yudith Lucia</t>
  </si>
  <si>
    <t>Gomez, Elizabeth</t>
  </si>
  <si>
    <t>Alcantara, Ceneyli</t>
  </si>
  <si>
    <t>Escobar, Yaneth</t>
  </si>
  <si>
    <t>Hagley, Kathleen</t>
  </si>
  <si>
    <t>Lozada, Jhodie</t>
  </si>
  <si>
    <t>Mendez, Luis</t>
  </si>
  <si>
    <t>Pitcairn, Shermayne Lance</t>
  </si>
  <si>
    <t>Sanchez, Olga</t>
  </si>
  <si>
    <t>Richards, Jahlani</t>
  </si>
  <si>
    <t>Carbonell, Maireny</t>
  </si>
  <si>
    <t>Gonzalez, Nidia</t>
  </si>
  <si>
    <t>Jacobo Serrano, Francisco Antonio</t>
  </si>
  <si>
    <t>Rosales, Aurelia</t>
  </si>
  <si>
    <t>Ferguson, Cecil D</t>
  </si>
  <si>
    <t>Robinson, Simone</t>
  </si>
  <si>
    <t>Nicholas, Raymond W</t>
  </si>
  <si>
    <t>Vargas Tolentino, Cenaida</t>
  </si>
  <si>
    <t>De Aza, Octavio R</t>
  </si>
  <si>
    <t>Reid, Kenneth Ivan</t>
  </si>
  <si>
    <t>Levy, Dawn Elizabeth Marie</t>
  </si>
  <si>
    <t>Reyes, Cesar</t>
  </si>
  <si>
    <t>Rodriguez, Keyla</t>
  </si>
  <si>
    <t>Costa, Josefa</t>
  </si>
  <si>
    <t>James, Elvina</t>
  </si>
  <si>
    <t>Hernandez, Lissette</t>
  </si>
  <si>
    <t>Garcia Garcia, Sneyder</t>
  </si>
  <si>
    <t>Clarke, Michael D</t>
  </si>
  <si>
    <t>Bahja, Rajmonda</t>
  </si>
  <si>
    <t>Fernandez, Jocelin</t>
  </si>
  <si>
    <t>Chavez Chicas, Yesli</t>
  </si>
  <si>
    <t>Cruz Dominguez, Fransheska</t>
  </si>
  <si>
    <t>Miranda, Kehila Yahisset</t>
  </si>
  <si>
    <t>Shaikh, Mussarat</t>
  </si>
  <si>
    <t>Barcia, Jose</t>
  </si>
  <si>
    <t>Mendoza, Micaela Carrillo</t>
  </si>
  <si>
    <t>Moronta, Rosa M.</t>
  </si>
  <si>
    <t>Ortiz Alvarado, Jose T</t>
  </si>
  <si>
    <t>Smalling, Doreen</t>
  </si>
  <si>
    <t>Perechu Tzep, Yessica Marleny</t>
  </si>
  <si>
    <t>Tiozang  (Solomon), Vincent</t>
  </si>
  <si>
    <t>Tiozang  (Jones), Vincent</t>
  </si>
  <si>
    <t>Romero, Rosalinda</t>
  </si>
  <si>
    <t>De Jesus, Carlos</t>
  </si>
  <si>
    <t>Oliveira, Hudson</t>
  </si>
  <si>
    <t>Alkharouf, Shadi</t>
  </si>
  <si>
    <t>McDowell, Jasmine</t>
  </si>
  <si>
    <t>Dixon, Kerema</t>
  </si>
  <si>
    <t>Mamathojaev, Asror</t>
  </si>
  <si>
    <t>Clarke Balin, Dianne</t>
  </si>
  <si>
    <t>Fernandez, Martha</t>
  </si>
  <si>
    <t>Duff, Kui Sahara</t>
  </si>
  <si>
    <t>Valle, Alenna</t>
  </si>
  <si>
    <t>Pak, Hyoncha</t>
  </si>
  <si>
    <t>Reyes Alvarado, Elia</t>
  </si>
  <si>
    <t>Lopez, Frederico</t>
  </si>
  <si>
    <t>Jimenez, Mabel</t>
  </si>
  <si>
    <t>ramdass, Kamal P</t>
  </si>
  <si>
    <t>Gaynor, Sylvia</t>
  </si>
  <si>
    <t>Reid, Neville</t>
  </si>
  <si>
    <t>Edwards, Annmarie</t>
  </si>
  <si>
    <t>Botina, Exenover</t>
  </si>
  <si>
    <t>Rodriguez, Henrry</t>
  </si>
  <si>
    <t>Lopez, Mariana</t>
  </si>
  <si>
    <t>Vigil, Jesus</t>
  </si>
  <si>
    <t>Melendez Velasquez, Bertha Isela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</si>
  <si>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</si>
  <si>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</si>
  <si>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</si>
  <si>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</si>
  <si>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</si>
  <si>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</si>
  <si>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</si>
  <si>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</si>
  <si>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</si>
  <si>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</si>
  <si>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</si>
  <si>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</si>
  <si>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</si>
  <si>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</si>
  <si>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</si>
  <si>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</si>
  <si>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Quimi, Bagner</t>
  </si>
  <si>
    <t>Payan Ortega, Mercedes</t>
  </si>
  <si>
    <t>Kaybeleva, Yelena</t>
  </si>
  <si>
    <t>Medina, Raquel</t>
  </si>
  <si>
    <t>William, Nia H.C.</t>
  </si>
  <si>
    <t>Arias, Alexis</t>
  </si>
  <si>
    <t>Cole, Sharmaine</t>
  </si>
  <si>
    <t>Gray, Natasha</t>
  </si>
  <si>
    <t>Sterling, Valrita</t>
  </si>
  <si>
    <t>Akkuns, Gorkem</t>
  </si>
  <si>
    <t>Hernandez, Lisandro</t>
  </si>
  <si>
    <t>Tardio, Luis H</t>
  </si>
  <si>
    <t>Plasencia, Rosa Nery</t>
  </si>
  <si>
    <t>Moonsammy, Sindamanie</t>
  </si>
  <si>
    <t>peralta, rosanna</t>
  </si>
  <si>
    <t>Chuchuca, Haidee</t>
  </si>
  <si>
    <t>Barrientos, Eva</t>
  </si>
  <si>
    <t>Alvarez, Ariel</t>
  </si>
  <si>
    <t>Joseph, Blenda</t>
  </si>
  <si>
    <t>Setal, Raymond</t>
  </si>
  <si>
    <t>Guevara Castro, Osman Gerardo</t>
  </si>
  <si>
    <t>Thompson, Sherid</t>
  </si>
  <si>
    <t>Armstrong, Kathleen</t>
  </si>
  <si>
    <t>Diaz Montes, Millie</t>
  </si>
  <si>
    <t>Linares Diaz, Arnold Isaac</t>
  </si>
  <si>
    <t>Bravo, Raymundo</t>
  </si>
  <si>
    <t>Clarke, Ramone</t>
  </si>
  <si>
    <t>Persaud, Jasodra</t>
  </si>
  <si>
    <t>Cameron, Noreen</t>
  </si>
  <si>
    <t>Marte, Raymundo</t>
  </si>
  <si>
    <t>Martinez Cordova, Yency</t>
  </si>
  <si>
    <t>Hiraldo, Jordani</t>
  </si>
  <si>
    <t>Vera, Jose</t>
  </si>
  <si>
    <t>Fuentez Solis, Elsy</t>
  </si>
  <si>
    <t>Jung, Mi Ja</t>
  </si>
  <si>
    <t>Castillo Olivera, Jaime Y</t>
  </si>
  <si>
    <t>Manrique, Betty</t>
  </si>
  <si>
    <t>St Sume, Marie</t>
  </si>
  <si>
    <t>Nshimiyimana, Dogon</t>
  </si>
  <si>
    <t>Aboulezz, Baher</t>
  </si>
  <si>
    <t>Lluilema Paltan, Diego Vinicio</t>
  </si>
  <si>
    <t>Lema Morocho, Lourdes Piedad</t>
  </si>
  <si>
    <t>Morocho Tenemaza, Tanya Maribel</t>
  </si>
  <si>
    <t>Cardoza Nevarez, Maria de los Angeles</t>
  </si>
  <si>
    <t>Rodriguez, Yazmin</t>
  </si>
  <si>
    <t>Marquez, Maria Petronila</t>
  </si>
  <si>
    <t>Rosales Cardona, Luis David</t>
  </si>
  <si>
    <t>Melara Sanchez, Alva Maria</t>
  </si>
  <si>
    <t>Hernandez Garcia, Eribelmy</t>
  </si>
  <si>
    <t>Zavaleta, Jose</t>
  </si>
  <si>
    <t>Brown, Shauna-Lee</t>
  </si>
  <si>
    <t>Smith, Carmeta</t>
  </si>
  <si>
    <t>Rojas, Yefren</t>
  </si>
  <si>
    <t>Licona, Flor</t>
  </si>
  <si>
    <t>Basurto, Lizbet</t>
  </si>
  <si>
    <t>Brim, Russell</t>
  </si>
  <si>
    <t>Mangubat, John L</t>
  </si>
  <si>
    <t>Mantuano, Ana</t>
  </si>
  <si>
    <t>Ahmed, Tarek</t>
  </si>
  <si>
    <t>Acosta, Marianna</t>
  </si>
  <si>
    <t>Aria, Ana</t>
  </si>
  <si>
    <t>Colon, Guillerma</t>
  </si>
  <si>
    <t>Feliz, Sayury</t>
  </si>
  <si>
    <t>Lammy, Eldon</t>
  </si>
  <si>
    <t>Mullings, Dane</t>
  </si>
  <si>
    <t>Estevez, Carmen</t>
  </si>
  <si>
    <t>Cardenas Gallego, Thomas</t>
  </si>
  <si>
    <t>Pichardo, Manuel Antonio</t>
  </si>
  <si>
    <t>Akter, Salma</t>
  </si>
  <si>
    <t>Cardona Alvarenga, Keishla Rocio</t>
  </si>
  <si>
    <t>Ellis, Lisa</t>
  </si>
  <si>
    <t>McDonald, Carlos</t>
  </si>
  <si>
    <t>Vega, Flerida Yolanda</t>
  </si>
  <si>
    <t>Ramirez, Orlando</t>
  </si>
  <si>
    <t>Menza, Doly Yaneth</t>
  </si>
  <si>
    <t>Davis, Eton A</t>
  </si>
  <si>
    <t>Heckstall, Patricia</t>
  </si>
  <si>
    <t>Delos Santos, Rosa</t>
  </si>
  <si>
    <t>Choi, Hayung</t>
  </si>
  <si>
    <t>VARGAS, ELIZABETH</t>
  </si>
  <si>
    <t>Hernandez, Roger</t>
  </si>
  <si>
    <t>Zapata, Oscar D.</t>
  </si>
  <si>
    <t>Portillo Moran, Andis Manrique</t>
  </si>
  <si>
    <t>Garcia, Margarita</t>
  </si>
  <si>
    <t>Paredes, Lanier</t>
  </si>
  <si>
    <t>Ugursu, Belgin</t>
  </si>
  <si>
    <t>Gutierrez, Brayan</t>
  </si>
  <si>
    <t>Salvi, Maria</t>
  </si>
  <si>
    <t>Nelson, Kelisia</t>
  </si>
  <si>
    <t>Ovalle, Alexander</t>
  </si>
  <si>
    <t>Talbi, Samir</t>
  </si>
  <si>
    <t>Minier, Berenice</t>
  </si>
  <si>
    <t>Chiji, Chinonso</t>
  </si>
  <si>
    <t>Leyva Hernandez, Paulina</t>
  </si>
  <si>
    <t>James, Geneva</t>
  </si>
  <si>
    <t>Graham, Nadine</t>
  </si>
  <si>
    <t>Madrid Gutierrez, Fernanda</t>
  </si>
  <si>
    <t>Wade, Victoria</t>
  </si>
  <si>
    <t>Frances De Andrades, Soraya</t>
  </si>
  <si>
    <t>Wilson Wieland, Cherille</t>
  </si>
  <si>
    <t>Canelas, Vivian</t>
  </si>
  <si>
    <t>Harris, Roshannee</t>
  </si>
  <si>
    <t>Bryan, Alesia Therecian</t>
  </si>
  <si>
    <t>Canales Maradiaga, Brithany Josely</t>
  </si>
  <si>
    <t>Canales Maradiaga, Edwin Yadiel</t>
  </si>
  <si>
    <t>Canales Maradiaga, Kenner Jared</t>
  </si>
  <si>
    <t>Gabsattarov, Aibek</t>
  </si>
  <si>
    <t>Orozco Anaya, Neyla</t>
  </si>
  <si>
    <t>Julu, Babysister</t>
  </si>
  <si>
    <t>Foster, Darion</t>
  </si>
  <si>
    <t>Vargas, Josefina</t>
  </si>
  <si>
    <t>Leo, Roberto</t>
  </si>
  <si>
    <t>Williams, Audriana</t>
  </si>
  <si>
    <t>Toure, Awa</t>
  </si>
  <si>
    <t>Ahmed, Syed</t>
  </si>
  <si>
    <t>Mercedes, Gregori</t>
  </si>
  <si>
    <t>Bassallo, Fernando</t>
  </si>
  <si>
    <t>Nicholson, Andrew</t>
  </si>
  <si>
    <t>Dymov, Yevgeniy</t>
  </si>
  <si>
    <t>Talla, Celestin</t>
  </si>
  <si>
    <t>Harbajan, Keisha</t>
  </si>
  <si>
    <t>Coker, Angel</t>
  </si>
  <si>
    <t>Santiago, Leticia</t>
  </si>
  <si>
    <t>Registe, Marie Erilia</t>
  </si>
  <si>
    <t>Ramirez, Sandra</t>
  </si>
  <si>
    <t>Taverez, Waldy</t>
  </si>
  <si>
    <t>De La Cruz Rodriguez, Xiomara</t>
  </si>
  <si>
    <t>Hernandez Nunez, Luisa</t>
  </si>
  <si>
    <t>Abubakar, Saeed</t>
  </si>
  <si>
    <t>Ramraj, Ganesh</t>
  </si>
  <si>
    <t>Ramirez, Renzo</t>
  </si>
  <si>
    <t>Kone, Losseni</t>
  </si>
  <si>
    <t>Betancur, Maria Salome</t>
  </si>
  <si>
    <t>Chen, Yiju</t>
  </si>
  <si>
    <t>Alrubaii, Zahralyemen</t>
  </si>
  <si>
    <t>Romero, Fabiola</t>
  </si>
  <si>
    <t>Estrada, Ruth</t>
  </si>
  <si>
    <t>Pantoja Benavides, Noe</t>
  </si>
  <si>
    <t>Flores, Andrea</t>
  </si>
  <si>
    <t>Morastitla, Teodora</t>
  </si>
  <si>
    <t>Hernandez, Catalina</t>
  </si>
  <si>
    <t>Tula, Elizabeth</t>
  </si>
  <si>
    <t>Ramos Norales, Angel</t>
  </si>
  <si>
    <t>Onyenagada, Nnelly P</t>
  </si>
  <si>
    <t>Wahba, Seham</t>
  </si>
  <si>
    <t>Youssef, Mario</t>
  </si>
  <si>
    <t>Youssef, Martina</t>
  </si>
  <si>
    <t>Enriquez, Ricardo</t>
  </si>
  <si>
    <t>Martinez, Silvia</t>
  </si>
  <si>
    <t>Stavropoulos, Maria J</t>
  </si>
  <si>
    <t>Okeyo, Agunda</t>
  </si>
  <si>
    <t>Sawers, Laila</t>
  </si>
  <si>
    <t>Vargas Gonzalez, Luz</t>
  </si>
  <si>
    <t>Calderon Blanco, Mirna Elizabeth</t>
  </si>
  <si>
    <t>Blanco Landaverde, Oscar Orlando</t>
  </si>
  <si>
    <t>Blanco Calderon, Yadira</t>
  </si>
  <si>
    <t>Naraine, Christopher H</t>
  </si>
  <si>
    <t>Calderon, Erika</t>
  </si>
  <si>
    <t>Vasquez, Emma</t>
  </si>
  <si>
    <t>Liu, Xue Yin</t>
  </si>
  <si>
    <t>Ortiz, Mariam</t>
  </si>
  <si>
    <t>Silverio, Rosa</t>
  </si>
  <si>
    <t>Popov, Stanislav</t>
  </si>
  <si>
    <t>Villalona, Gisel</t>
  </si>
  <si>
    <t>Gabriel Quezada, Henrry A</t>
  </si>
  <si>
    <t>Johnson, Ranique</t>
  </si>
  <si>
    <t>Segovia, Edson</t>
  </si>
  <si>
    <t>Zhagui Bravo, Ana</t>
  </si>
  <si>
    <t>White, Julia</t>
  </si>
  <si>
    <t>Vashakmadze, Aleqsandre</t>
  </si>
  <si>
    <t>Guillauville, Jeanne Andrea</t>
  </si>
  <si>
    <t>Ferrer, Cleopatra</t>
  </si>
  <si>
    <t>Diaz, Delmi</t>
  </si>
  <si>
    <t>Cardona Alvarenga, Keyla</t>
  </si>
  <si>
    <t>Rodriguez Blanco, Meralyn Yohami</t>
  </si>
  <si>
    <t>Rodriguez Blanco, Angel Emanuel</t>
  </si>
  <si>
    <t>Hernandez, Iris</t>
  </si>
  <si>
    <t>Moran Malpica Malpica, Yamilet</t>
  </si>
  <si>
    <t>Gomez Moran, Jesus Yosmar</t>
  </si>
  <si>
    <t>Perez Cartagena, Loany</t>
  </si>
  <si>
    <t>Alvarado Perez, Rosangela Giccel</t>
  </si>
  <si>
    <t>Padilla, Angelica</t>
  </si>
  <si>
    <t>Norales Aranda, Josias</t>
  </si>
  <si>
    <t>Hamilton, Clinton S</t>
  </si>
  <si>
    <t>Mitchell, Ricardo</t>
  </si>
  <si>
    <t>Cedeno, Claribel</t>
  </si>
  <si>
    <t>Dominguez, Alejandra</t>
  </si>
  <si>
    <t>Aparicio, Mayra</t>
  </si>
  <si>
    <t>Cabrerra, Luciano</t>
  </si>
  <si>
    <t>Mahgoub, Ahmed R</t>
  </si>
  <si>
    <t>Garcia-Loreto, Isidora</t>
  </si>
  <si>
    <t>Torres, Emelia H</t>
  </si>
  <si>
    <t>Frias, Carmen</t>
  </si>
  <si>
    <t>Qiam, Yuming</t>
  </si>
  <si>
    <t>Wynter, Cranston</t>
  </si>
  <si>
    <t>Hernandez, Edras</t>
  </si>
  <si>
    <t>Wilson, Davina A</t>
  </si>
  <si>
    <t>Dedier Moore, Jason</t>
  </si>
  <si>
    <t>Lew, Beverly</t>
  </si>
  <si>
    <t>Felix, Crislin</t>
  </si>
  <si>
    <t>Bratu, Georgeta</t>
  </si>
  <si>
    <t>Guevara Castro, Osman</t>
  </si>
  <si>
    <t>De Jesus Frias, America Maria</t>
  </si>
  <si>
    <t>Williams, Claudette</t>
  </si>
  <si>
    <t>Asfaw, Getachew</t>
  </si>
  <si>
    <t>Martinez, Pauline</t>
  </si>
  <si>
    <t>Lopez, Alexander</t>
  </si>
  <si>
    <t>Clarke, Kadeen</t>
  </si>
  <si>
    <t>Crawford, Grace</t>
  </si>
  <si>
    <t>Sanchez Gomez, Maria Soledad</t>
  </si>
  <si>
    <t>Cruz, Victoriano</t>
  </si>
  <si>
    <t>Brown, Stefano</t>
  </si>
  <si>
    <t>Calderon, Irene</t>
  </si>
  <si>
    <t>Dixon, Courtney</t>
  </si>
  <si>
    <t>Salazar-Moronta, Luis</t>
  </si>
  <si>
    <t>Chery, Germaine</t>
  </si>
  <si>
    <t>Sakurai, Haruka</t>
  </si>
  <si>
    <t>Arias Falcon, Ramon A</t>
  </si>
  <si>
    <t>Ziman, Sourov</t>
  </si>
  <si>
    <t>Anwar, Waqas</t>
  </si>
  <si>
    <t>Weeks, Erna</t>
  </si>
  <si>
    <t>Robelo, Ronald</t>
  </si>
  <si>
    <t>Rodriguez, Jose</t>
  </si>
  <si>
    <t>Javed, Suleman</t>
  </si>
  <si>
    <t>Gray  (Tajmar), Delano</t>
  </si>
  <si>
    <t>Archer, Maureen</t>
  </si>
  <si>
    <t>Castillo, Angela</t>
  </si>
  <si>
    <t>Iagudin, Timur</t>
  </si>
  <si>
    <t>Flores, Ismael</t>
  </si>
  <si>
    <t>Ingram, Gerardo M</t>
  </si>
  <si>
    <t>Avila Navarrete, Rene</t>
  </si>
  <si>
    <t>Navarrete Reyes, Marciala</t>
  </si>
  <si>
    <t>Campbell, Sahra</t>
  </si>
  <si>
    <t>Suazo Maradiaga, Yeni Xiomara</t>
  </si>
  <si>
    <t>Demedetskaya, Yael</t>
  </si>
  <si>
    <t>Demedetskiy, Andrey</t>
  </si>
  <si>
    <t>Colon Norales, Byron Rolando</t>
  </si>
  <si>
    <t>Rosario, Angela</t>
  </si>
  <si>
    <t>Severino, Antonia</t>
  </si>
  <si>
    <t>Avila Navarrete, Tzitlali</t>
  </si>
  <si>
    <t>Gomez, Yanet</t>
  </si>
  <si>
    <t>Cerda, Arlette I</t>
  </si>
  <si>
    <t>Joye, Julia</t>
  </si>
  <si>
    <t>Alexander, Lystra</t>
  </si>
  <si>
    <t>Padilla, Marina</t>
  </si>
  <si>
    <t>Bicherchia, Marsha</t>
  </si>
  <si>
    <t>Carrion, Lina</t>
  </si>
  <si>
    <t>Williams, Ronald</t>
  </si>
  <si>
    <t>Sene, Saly</t>
  </si>
  <si>
    <t>Bautista De Los Santos, Yesica</t>
  </si>
  <si>
    <t>Bautista De Los Santos, Joel</t>
  </si>
  <si>
    <t>Santelli, Marie</t>
  </si>
  <si>
    <t>Jones, Noel</t>
  </si>
  <si>
    <t>Pina De La Cruz, Carlos Daniel</t>
  </si>
  <si>
    <t>De La Cruz, Jeremy</t>
  </si>
  <si>
    <t>Arango, Estefania</t>
  </si>
  <si>
    <t>Mahamba, Nelly</t>
  </si>
  <si>
    <t>Najman, Hermina</t>
  </si>
  <si>
    <t>Rodriguez, Ana</t>
  </si>
  <si>
    <t>Rodriguez, Sara De Los Angeles</t>
  </si>
  <si>
    <t>Jorge, Maria</t>
  </si>
  <si>
    <t>Bastardo, Genesis</t>
  </si>
  <si>
    <t>Okhotnikov, Nikolai</t>
  </si>
  <si>
    <t>Navarette, Audencia</t>
  </si>
  <si>
    <t>Castaneda Morales, Gerson</t>
  </si>
  <si>
    <t>Alkhales, Hafida</t>
  </si>
  <si>
    <t>Lomotey, Priscilla</t>
  </si>
  <si>
    <t>Bermudez Figueroa, Estefany Y</t>
  </si>
  <si>
    <t>Claros Sanchez, Marcos E</t>
  </si>
  <si>
    <t>Sanchez Flores, Oscar J</t>
  </si>
  <si>
    <t>Blanco De Garcia, Ingrid Albertina</t>
  </si>
  <si>
    <t>James, Rickein</t>
  </si>
  <si>
    <t>Abojourin, Abel</t>
  </si>
  <si>
    <t>Toure, Abdoulaye</t>
  </si>
  <si>
    <t>McDonald, Kirk</t>
  </si>
  <si>
    <t>Mahabir, NO GIVEN NAME</t>
  </si>
  <si>
    <t>Wong, Suet Wong</t>
  </si>
  <si>
    <t>Flores, Raymundo</t>
  </si>
  <si>
    <t>Cornielle, Donna</t>
  </si>
  <si>
    <t>Guteta, Almaz</t>
  </si>
  <si>
    <t>Castillo, Joselyn Dennise</t>
  </si>
  <si>
    <t>Grichev, Dmitrii</t>
  </si>
  <si>
    <t>Dolor, Gervin</t>
  </si>
  <si>
    <t>Erazo Sarmiento, Alexandra</t>
  </si>
  <si>
    <t>Andrade Vijil, Evelin J</t>
  </si>
  <si>
    <t>Ramos, Zoila</t>
  </si>
  <si>
    <t>Clemente Maldonado, Abel</t>
  </si>
  <si>
    <t>Enamorado-Hernandez, Heidi</t>
  </si>
  <si>
    <t>De Los Santos, Zenaida</t>
  </si>
  <si>
    <t>Pinzon Mendez, Karla I</t>
  </si>
  <si>
    <t>Pineda Chicas, Ana</t>
  </si>
  <si>
    <t>Pryce, Raymond R</t>
  </si>
  <si>
    <t>Ally, Subhan</t>
  </si>
  <si>
    <t>Perea, Yolanda</t>
  </si>
  <si>
    <t>Kerr-Deans, Moya</t>
  </si>
  <si>
    <t>Abreu, Ramon</t>
  </si>
  <si>
    <t>Carino, Rosalba</t>
  </si>
  <si>
    <t>Zadani, Fath</t>
  </si>
  <si>
    <t>Ghosh, Joyashree</t>
  </si>
  <si>
    <t>Sokhna, Aminata</t>
  </si>
  <si>
    <t>Wattara, Nandy Estelle</t>
  </si>
  <si>
    <t>Giraldo, Jenny</t>
  </si>
  <si>
    <t>Gualaco, Juan J</t>
  </si>
  <si>
    <t>Bynoe, Shane</t>
  </si>
  <si>
    <t>Gomez, Ivan F</t>
  </si>
  <si>
    <t>Beckford-Duffault, Dennekia</t>
  </si>
  <si>
    <t>Kim, Haeran</t>
  </si>
  <si>
    <t>Corona, Armando</t>
  </si>
  <si>
    <t>Mehdi, Syed</t>
  </si>
  <si>
    <t>Garcia, Yanena</t>
  </si>
  <si>
    <t>Thomas, Kenisha O</t>
  </si>
  <si>
    <t>Garcia, Sujapa</t>
  </si>
  <si>
    <t>Lee, Il Hyung</t>
  </si>
  <si>
    <t>Singh, Bibi H</t>
  </si>
  <si>
    <t>Azavache, Raul</t>
  </si>
  <si>
    <t>Reyes, Jesica</t>
  </si>
  <si>
    <t>Velasquez, Luz</t>
  </si>
  <si>
    <t>Frias, Rosa Antonia</t>
  </si>
  <si>
    <t>Raskin, Viktoriya</t>
  </si>
  <si>
    <t>Corado Cortez, Andres Alfonso</t>
  </si>
  <si>
    <t>Sanchez, Edward</t>
  </si>
  <si>
    <t>Harbajan, Curtis</t>
  </si>
  <si>
    <t>Harbajan, Kyle Kristoff</t>
  </si>
  <si>
    <t>Fam, Mamdouh</t>
  </si>
  <si>
    <t>Mateo, Alba</t>
  </si>
  <si>
    <t>Shiamsundar, Marvin</t>
  </si>
  <si>
    <t>Irias, Nilcen</t>
  </si>
  <si>
    <t>Ekweanya, Victor Somtochukwu</t>
  </si>
  <si>
    <t>Ramirez, Cesar Samuel</t>
  </si>
  <si>
    <t>Schloss, Clive C</t>
  </si>
  <si>
    <t>Abreu, Sheiny</t>
  </si>
  <si>
    <t>Philip, Bernice</t>
  </si>
  <si>
    <t>Lopez, Diomedes</t>
  </si>
  <si>
    <t>Ramirez- Bonilla, Kevin</t>
  </si>
  <si>
    <t>Guity, Gloria</t>
  </si>
  <si>
    <t>Cadiz Vda de Camacho, Emma</t>
  </si>
  <si>
    <t>Sarmiento, Gloria</t>
  </si>
  <si>
    <t>Diarrassouba, Manma</t>
  </si>
  <si>
    <t>Lyuman, Sevil</t>
  </si>
  <si>
    <t>Calix, Irvin Efrain</t>
  </si>
  <si>
    <t>Sylla, Mandjika</t>
  </si>
  <si>
    <t>Paulino, Georgina D</t>
  </si>
  <si>
    <t>Guzman, Yanira</t>
  </si>
  <si>
    <t>Brackett, Hilda M</t>
  </si>
  <si>
    <t>Altamirano Espana, Victor A</t>
  </si>
  <si>
    <t>Gustavi, Anna</t>
  </si>
  <si>
    <t>Martinez de lo Santos, Yolanny</t>
  </si>
  <si>
    <t>Doucoure, Ibrahima</t>
  </si>
  <si>
    <t>Alpha Mamadou, Barry</t>
  </si>
  <si>
    <t>Martinez, Esdras</t>
  </si>
  <si>
    <t>Hernandez, Maribel</t>
  </si>
  <si>
    <t>Waugh, Shanequa</t>
  </si>
  <si>
    <t>Ortiz-Cruzel, Eriberto</t>
  </si>
  <si>
    <t>Han-Kufner, Jungwon</t>
  </si>
  <si>
    <t>Chicas Rodriguez, Leslie</t>
  </si>
  <si>
    <t>Khan, Sasekumarie</t>
  </si>
  <si>
    <t>Sethi, Parth</t>
  </si>
  <si>
    <t>Nunez, Francisco</t>
  </si>
  <si>
    <t>Batis Laureano, Darlin Lineth</t>
  </si>
  <si>
    <t>De La Cruz, Noemi</t>
  </si>
  <si>
    <t>Short, Basil S</t>
  </si>
  <si>
    <t>Baled, Iprahima</t>
  </si>
  <si>
    <t>Ventura De Amaro, Raquel M</t>
  </si>
  <si>
    <t>Sayon, Masita</t>
  </si>
  <si>
    <t>brito, Treicy</t>
  </si>
  <si>
    <t>Reneau, Cherry M</t>
  </si>
  <si>
    <t>Boodie, Rondell E</t>
  </si>
  <si>
    <t>Mhadeo, Randeo</t>
  </si>
  <si>
    <t>Molina, Flordaliza</t>
  </si>
  <si>
    <t>Jacob, Catherine</t>
  </si>
  <si>
    <t>Jacob, Beena</t>
  </si>
  <si>
    <t>Nkwocha, Michael</t>
  </si>
  <si>
    <t>Ogundeinde, Segun</t>
  </si>
  <si>
    <t>Rogers, Tracy</t>
  </si>
  <si>
    <t>Vargas, Patricia</t>
  </si>
  <si>
    <t>Asse, Seder</t>
  </si>
  <si>
    <t>Green, Ronald</t>
  </si>
  <si>
    <t>Diaz, Ylonka</t>
  </si>
  <si>
    <t>Castro, Delia</t>
  </si>
  <si>
    <t>Baez, Carmen Y</t>
  </si>
  <si>
    <t>Mata, Belkis</t>
  </si>
  <si>
    <t>Medina, Anthony</t>
  </si>
  <si>
    <t>Gomez, Fredy Ramon</t>
  </si>
  <si>
    <t>Dia, Aminata</t>
  </si>
  <si>
    <t>Kalu, Elsie I</t>
  </si>
  <si>
    <t>Reyes, Santa</t>
  </si>
  <si>
    <t>Missoh, Akossiwa</t>
  </si>
  <si>
    <t>Mironov, Aleksandr</t>
  </si>
  <si>
    <t>Pacheco, Nilcer</t>
  </si>
  <si>
    <t>Eleshin, Adiza</t>
  </si>
  <si>
    <t>Olivares, Denisse</t>
  </si>
  <si>
    <t>Ouya, Pierre</t>
  </si>
  <si>
    <t>Arriola, Eric Steven</t>
  </si>
  <si>
    <t>Estrella, Victor</t>
  </si>
  <si>
    <t>Cohen, Khalil</t>
  </si>
  <si>
    <t>Coats Acosta, Rene Alejandro</t>
  </si>
  <si>
    <t>Lopez, Olga</t>
  </si>
  <si>
    <t>Smith-Williams, Elecia</t>
  </si>
  <si>
    <t>Martinez, Enio A</t>
  </si>
  <si>
    <t>Marinez, Perla V</t>
  </si>
  <si>
    <t>De la Cruz, Pablo</t>
  </si>
  <si>
    <t>Mendez, Candida</t>
  </si>
  <si>
    <t>Rambarrack, Moneshwar</t>
  </si>
  <si>
    <t>Munoz, Cesar</t>
  </si>
  <si>
    <t>Pineda Terrero, Jenniffer</t>
  </si>
  <si>
    <t>Velez, Luciano V</t>
  </si>
  <si>
    <t>Martinez, Rosa</t>
  </si>
  <si>
    <t>Shefild, Dmitry</t>
  </si>
  <si>
    <t>Rivera, Nancy R</t>
  </si>
  <si>
    <t>Alfonseca, Jesus B</t>
  </si>
  <si>
    <t>rodriguez, Manuel</t>
  </si>
  <si>
    <t>Navid, Sadia</t>
  </si>
  <si>
    <t>Gonzalez, karina</t>
  </si>
  <si>
    <t>Delicia, Cassandra</t>
  </si>
  <si>
    <t>Ansah, Emmanuel</t>
  </si>
  <si>
    <t>Fernando, Patricia</t>
  </si>
  <si>
    <t>Polanco, Felipe</t>
  </si>
  <si>
    <t>Mena, Gladys</t>
  </si>
  <si>
    <t>Montero, Ruben</t>
  </si>
  <si>
    <t>Straughter, Adela</t>
  </si>
  <si>
    <t>Smith, Kennard</t>
  </si>
  <si>
    <t>Bowen-Ellis, Conrado Eduardo</t>
  </si>
  <si>
    <t>Nunez, Fanny</t>
  </si>
  <si>
    <t>Martinez, Luis</t>
  </si>
  <si>
    <t>Chavez Bernardez, Jennifer</t>
  </si>
  <si>
    <t>Gutierrez, Yenaury</t>
  </si>
  <si>
    <t>Fernandez, Rafael A</t>
  </si>
  <si>
    <t>Fields, Fredrick P</t>
  </si>
  <si>
    <t>Flecha, Maria</t>
  </si>
  <si>
    <t>Rondon, Gladys</t>
  </si>
  <si>
    <t>Bull, Rose</t>
  </si>
  <si>
    <t>Johnson, Martina D</t>
  </si>
  <si>
    <t>Bernard, Clinton</t>
  </si>
  <si>
    <t>Lian, Minmin</t>
  </si>
  <si>
    <t>Minaya, Cupertino</t>
  </si>
  <si>
    <t>Montano, Maria</t>
  </si>
  <si>
    <t>Mwiza, Leah</t>
  </si>
  <si>
    <t>Velasquez, Herminia V</t>
  </si>
  <si>
    <t>Robinson, Heather</t>
  </si>
  <si>
    <t>Marine, Felix</t>
  </si>
  <si>
    <t>colon, luis</t>
  </si>
  <si>
    <t>Diallo, Abdoulaye</t>
  </si>
  <si>
    <t>Santana, Francea</t>
  </si>
  <si>
    <t>Tixi, Javier</t>
  </si>
  <si>
    <t>Martinez Vasquez, Jose Antonio</t>
  </si>
  <si>
    <t>Martinez Moreno, William</t>
  </si>
  <si>
    <t>Barry, Abdoulaye</t>
  </si>
  <si>
    <t>Irizarry, Jaime</t>
  </si>
  <si>
    <t>Krubally, Mariama</t>
  </si>
  <si>
    <t>James, Kishma</t>
  </si>
  <si>
    <t>Santiago, Santa</t>
  </si>
  <si>
    <t>Berment, Richard</t>
  </si>
  <si>
    <t>Ramissoon, Onicka</t>
  </si>
  <si>
    <t>Terrero, Domingo</t>
  </si>
  <si>
    <t>Kabore, Azatta</t>
  </si>
  <si>
    <t>Castaneda Marroquin, Eduardo A</t>
  </si>
  <si>
    <t>Asere, Richard</t>
  </si>
  <si>
    <t>Quezada, Carlos</t>
  </si>
  <si>
    <t>Sarabia, Idelma</t>
  </si>
  <si>
    <t>Vallemas, Vincente</t>
  </si>
  <si>
    <t>Cabrera, Veronica</t>
  </si>
  <si>
    <t>Neya, Emmanuel</t>
  </si>
  <si>
    <t>Desgouttes, Sophia</t>
  </si>
  <si>
    <t>Simon, Yolanda</t>
  </si>
  <si>
    <t>Garcia Santos, Eugenio Antonio</t>
  </si>
  <si>
    <t>Martinez, Deisy</t>
  </si>
  <si>
    <t>Hernandez, Margarita</t>
  </si>
  <si>
    <t>Santiesteban, Elsie M</t>
  </si>
  <si>
    <t>Yilmaz, Ezgi</t>
  </si>
  <si>
    <t>Gbapaywhea, Samuel</t>
  </si>
  <si>
    <t>Chiche, Maria</t>
  </si>
  <si>
    <t>Veras Urena, Christopher</t>
  </si>
  <si>
    <t>Perkins, Janice B</t>
  </si>
  <si>
    <t>Steele, Keinda</t>
  </si>
  <si>
    <t>Ramcharit, Jeniffa</t>
  </si>
  <si>
    <t>Zverev, Evgeny</t>
  </si>
  <si>
    <t>Diallo, Moustapha</t>
  </si>
  <si>
    <t>Pelaez, Susan</t>
  </si>
  <si>
    <t>Martinez Medina, Pablo R</t>
  </si>
  <si>
    <t>Perez, Heber</t>
  </si>
  <si>
    <t>Vurgos, Vigilio</t>
  </si>
  <si>
    <t>Paulino de Vurgos, Mercedes</t>
  </si>
  <si>
    <t>Vargas, Anibal</t>
  </si>
  <si>
    <t>Ghebreigziabiher, Aregash</t>
  </si>
  <si>
    <t>Del Rosario, Victor</t>
  </si>
  <si>
    <t>Aguilar Rivera, Manuel</t>
  </si>
  <si>
    <t>Tallasaa, Aime</t>
  </si>
  <si>
    <t>Jimenez, Juana</t>
  </si>
  <si>
    <t>Ramos, Elsa</t>
  </si>
  <si>
    <t>Serrano, Ana M.</t>
  </si>
  <si>
    <t>caro, crystal</t>
  </si>
  <si>
    <t>Mendez, Alma</t>
  </si>
  <si>
    <t>Clarke, Lilyeta</t>
  </si>
  <si>
    <t>Sanchez, Nelson</t>
  </si>
  <si>
    <t>Herrera, Vinicio De Jesus</t>
  </si>
  <si>
    <t>Rodriguez de Gomez, Ydalia</t>
  </si>
  <si>
    <t>Glover, Josanne</t>
  </si>
  <si>
    <t>Muniz, Jesus</t>
  </si>
  <si>
    <t>Lozano, Dionicia</t>
  </si>
  <si>
    <t>Reyes, Dilma M</t>
  </si>
  <si>
    <t>Guity Fernandez, Lesly</t>
  </si>
  <si>
    <t>Molyneaux, Santa</t>
  </si>
  <si>
    <t>Tapia, Annette</t>
  </si>
  <si>
    <t>Downey, Ronald</t>
  </si>
  <si>
    <t>Correa, Aldo</t>
  </si>
  <si>
    <t>Rojas, Lucia</t>
  </si>
  <si>
    <t>Lindsay, Gilma</t>
  </si>
  <si>
    <t>Rodrigez, Camen Y.</t>
  </si>
  <si>
    <t>Amaya, German A</t>
  </si>
  <si>
    <t>Torres, Elisa Antonia</t>
  </si>
  <si>
    <t>Mohabir, Deolall</t>
  </si>
  <si>
    <t>Lorenzo, Yobanis</t>
  </si>
  <si>
    <t>Chester, Wendy W</t>
  </si>
  <si>
    <t>Rivera, Elena</t>
  </si>
  <si>
    <t>Fajards-Terero, Vetilio E</t>
  </si>
  <si>
    <t>De Los Angeles Garcia, Maria</t>
  </si>
  <si>
    <t>Lopez, Telma</t>
  </si>
  <si>
    <t>Saavedra, Carmelo</t>
  </si>
  <si>
    <t>Torrez Romero, Johnny D.</t>
  </si>
  <si>
    <t>Nimbabaje, Jacqueline</t>
  </si>
  <si>
    <t>Diaz- Delara, Lourdes Maria</t>
  </si>
  <si>
    <t>Dixon, Lascelles</t>
  </si>
  <si>
    <t>Bilic, Sandra</t>
  </si>
  <si>
    <t>Agajumayev, Guvanch</t>
  </si>
  <si>
    <t>Cuevas Castillo, Negrin Alberto</t>
  </si>
  <si>
    <t>Keita, Doussou</t>
  </si>
  <si>
    <t>Lopez Hernandez, Andrea</t>
  </si>
  <si>
    <t>Barreno, Jonathan</t>
  </si>
  <si>
    <t>Contreras Cortorreal, Joandry</t>
  </si>
  <si>
    <t>Aisakhunova, Jackie</t>
  </si>
  <si>
    <t>Fernandez, Francisca</t>
  </si>
  <si>
    <t>Borges, Miguel</t>
  </si>
  <si>
    <t>Adewuyi, Adelekan</t>
  </si>
  <si>
    <t>Sic Xitumul, Gladys Yanira</t>
  </si>
  <si>
    <t>sanchez, Arelis</t>
  </si>
  <si>
    <t>Ualiyev, Daniyar</t>
  </si>
  <si>
    <t>Zhuravlev, Maksim</t>
  </si>
  <si>
    <t>Collins, Chandel</t>
  </si>
  <si>
    <t>Appalsammy, Droubadie</t>
  </si>
  <si>
    <t>Nazon, Claudel</t>
  </si>
  <si>
    <t>Rosado Paulino, Pura Aida C</t>
  </si>
  <si>
    <t>Perez, Sonia</t>
  </si>
  <si>
    <t>Latyshev, Sergei</t>
  </si>
  <si>
    <t>Stupina, Mariia</t>
  </si>
  <si>
    <t>Vasquez, Matilde</t>
  </si>
  <si>
    <t>Kim, Hyunhee</t>
  </si>
  <si>
    <t>Urena, Jeimy</t>
  </si>
  <si>
    <t>Luzin, Kirill</t>
  </si>
  <si>
    <t>Hernandez Utuy, Roberto</t>
  </si>
  <si>
    <t>Singh, Lucia</t>
  </si>
  <si>
    <t>Vazquez, Jacqueline</t>
  </si>
  <si>
    <t>Hernandez, Gabriel</t>
  </si>
  <si>
    <t>Martinez, Julio C</t>
  </si>
  <si>
    <t>Badji, Mariama</t>
  </si>
  <si>
    <t>Tavera Peralta, Isaias</t>
  </si>
  <si>
    <t>Pelmantier, Altagracia</t>
  </si>
  <si>
    <t>Foster, Lanecia</t>
  </si>
  <si>
    <t>Perez Cartagena, Emerson Jafeth</t>
  </si>
  <si>
    <t>Husbands, Shelly</t>
  </si>
  <si>
    <t>Okine, Wilfred</t>
  </si>
  <si>
    <t>Caceres Luna, Mariel M</t>
  </si>
  <si>
    <t>Ortega, Armando</t>
  </si>
  <si>
    <t>Ceesay, Momodou</t>
  </si>
  <si>
    <t>Hurtado, Diana</t>
  </si>
  <si>
    <t>Navarrete, Janet</t>
  </si>
  <si>
    <t>McCrary, Nadine</t>
  </si>
  <si>
    <t>Rivera- Duran, Salomon</t>
  </si>
  <si>
    <t>Ramirez, Ingrid</t>
  </si>
  <si>
    <t>Agostino, Anna</t>
  </si>
  <si>
    <t>Picon, Richy</t>
  </si>
  <si>
    <t>Roberts-Shine, Christina</t>
  </si>
  <si>
    <t>Patino- Gutierrez, Maria Theresa</t>
  </si>
  <si>
    <t>Galindo, Guillermo</t>
  </si>
  <si>
    <t>Foster, Coreen</t>
  </si>
  <si>
    <t>Padilla, Maria</t>
  </si>
  <si>
    <t>Rodriguez, Serafin</t>
  </si>
  <si>
    <t>Guevara, Roberta</t>
  </si>
  <si>
    <t>Birch, Tricia</t>
  </si>
  <si>
    <t>Colon, Indiana</t>
  </si>
  <si>
    <t>Guzman, Ivonne</t>
  </si>
  <si>
    <t>Escobar, Yury</t>
  </si>
  <si>
    <t>Esin, Vadim</t>
  </si>
  <si>
    <t>Golovin, Ilya</t>
  </si>
  <si>
    <t>Perez, Yulis</t>
  </si>
  <si>
    <t>Arzu, Sotero</t>
  </si>
  <si>
    <t>Chavez, Miriam</t>
  </si>
  <si>
    <t>Murillo Cartagena, Reina</t>
  </si>
  <si>
    <t>Navarro Murillo, Luis Alonso</t>
  </si>
  <si>
    <t>Duverge-Martinez, Cassandra C.</t>
  </si>
  <si>
    <t>Rosario, Tirsa</t>
  </si>
  <si>
    <t>Vinnik, Andrey</t>
  </si>
  <si>
    <t>Toure, Fanta</t>
  </si>
  <si>
    <t>Kalashnikov, Boris</t>
  </si>
  <si>
    <t>Lachugin, Ilya</t>
  </si>
  <si>
    <t>Malakhov, Roman</t>
  </si>
  <si>
    <t>Kiselev, Ilya</t>
  </si>
  <si>
    <t>Pleshkov, Andrey</t>
  </si>
  <si>
    <t>Baten Rojas, Lionel</t>
  </si>
  <si>
    <t>Estime, James</t>
  </si>
  <si>
    <t>Orihuela, Roxana</t>
  </si>
  <si>
    <t>Savin, Igor</t>
  </si>
  <si>
    <t>Maradiaga Alvarado, Jeimy</t>
  </si>
  <si>
    <t>Zou, Jin Ying</t>
  </si>
  <si>
    <t>Ozah, Opeyemi</t>
  </si>
  <si>
    <t>Enriquez Vivar, Claudia</t>
  </si>
  <si>
    <t>Sheriff, Umaru</t>
  </si>
  <si>
    <t>Raja, Mohamed Javaid</t>
  </si>
  <si>
    <t>Michael, Jyoti</t>
  </si>
  <si>
    <t>Dominguez Montes, Andres</t>
  </si>
  <si>
    <t>Tulay, Sarah</t>
  </si>
  <si>
    <t>Kataballi, Daywatti</t>
  </si>
  <si>
    <t>Bravo Bolanos, Heladio</t>
  </si>
  <si>
    <t>Mayen Rodriguez, Xavier</t>
  </si>
  <si>
    <t>Gueye, Sabrina</t>
  </si>
  <si>
    <t>Galindo Almazo, America</t>
  </si>
  <si>
    <t>Viruel, Alvaro</t>
  </si>
  <si>
    <t>Sosa, Leonides</t>
  </si>
  <si>
    <t>Herrera, Alejandro</t>
  </si>
  <si>
    <t>Austin, Anthony A</t>
  </si>
  <si>
    <t>Zenteno, Celia</t>
  </si>
  <si>
    <t>Navarro Moran, Darcedalia</t>
  </si>
  <si>
    <t>Soankopo Ghislane, Nikiema</t>
  </si>
  <si>
    <t>Orea, Arely</t>
  </si>
  <si>
    <t>Lopez, Elida</t>
  </si>
  <si>
    <t>Garcia, Jesucita</t>
  </si>
  <si>
    <t>Sanango Chabla, Maria Hilda</t>
  </si>
  <si>
    <t>Serrano, Jose</t>
  </si>
  <si>
    <t>Arzumanyants, Janna</t>
  </si>
  <si>
    <t>I-360 VAWA Self-Petition</t>
  </si>
  <si>
    <t>G-639</t>
  </si>
  <si>
    <t>I-914A</t>
  </si>
  <si>
    <t>N/A</t>
  </si>
  <si>
    <t>Removal Defense</t>
  </si>
  <si>
    <t>I-589 Affirmative</t>
  </si>
  <si>
    <t>I-765</t>
  </si>
  <si>
    <t>SIJS Guardianship Proceeding</t>
  </si>
  <si>
    <t>N-565</t>
  </si>
  <si>
    <t>I-824</t>
  </si>
  <si>
    <t>DS-260</t>
  </si>
  <si>
    <t>I-90</t>
  </si>
  <si>
    <t>I-821</t>
  </si>
  <si>
    <t>I-485 Affirmative</t>
  </si>
  <si>
    <t>I-130 (spouse)</t>
  </si>
  <si>
    <t>I-589 Defensive</t>
  </si>
  <si>
    <t>I-751</t>
  </si>
  <si>
    <t>I-918</t>
  </si>
  <si>
    <t>I-929</t>
  </si>
  <si>
    <t>339 Guardianship</t>
  </si>
  <si>
    <t>N-400</t>
  </si>
  <si>
    <t>I-360 SIJS</t>
  </si>
  <si>
    <t>I-290B  Motion to Reopen/Reconsider</t>
  </si>
  <si>
    <t>I-912</t>
  </si>
  <si>
    <t>I-130</t>
  </si>
  <si>
    <t>I-601</t>
  </si>
  <si>
    <t>I-131 Advanced Parole</t>
  </si>
  <si>
    <t>EOIR-42B</t>
  </si>
  <si>
    <t>AR-11</t>
  </si>
  <si>
    <t>DS-160</t>
  </si>
  <si>
    <t>I-821D</t>
  </si>
  <si>
    <t>330 Guardianship Children</t>
  </si>
  <si>
    <t>3201 Petitioner (Abuse with Custody No Property</t>
  </si>
  <si>
    <t>311 Custody</t>
  </si>
  <si>
    <t>327 Uncontested Divorce</t>
  </si>
  <si>
    <t>I-914</t>
  </si>
  <si>
    <t>I-192</t>
  </si>
  <si>
    <t>N-336</t>
  </si>
  <si>
    <t>N-600</t>
  </si>
  <si>
    <t>AOS (Not I-130)</t>
  </si>
  <si>
    <t>N-648</t>
  </si>
  <si>
    <t>I-864</t>
  </si>
  <si>
    <t>I-485 Defensive</t>
  </si>
  <si>
    <t>I-918A</t>
  </si>
  <si>
    <t>220 Wage/Hour Claims</t>
  </si>
  <si>
    <t>I-290B AAO appeal</t>
  </si>
  <si>
    <t>I-539</t>
  </si>
  <si>
    <t>340 Name Change</t>
  </si>
  <si>
    <t>I-730</t>
  </si>
  <si>
    <t>I-131 Refugee Travel Document</t>
  </si>
  <si>
    <t>3290 Respondent (Abuse No Custody No Property)</t>
  </si>
  <si>
    <t>Public Charge</t>
  </si>
  <si>
    <t>314 Relative Custody</t>
  </si>
  <si>
    <t>EOIR-33/IC</t>
  </si>
  <si>
    <t>I-131 Humanitarian parole</t>
  </si>
  <si>
    <t>I-601A</t>
  </si>
  <si>
    <t>AOS I-130</t>
  </si>
  <si>
    <t>Emergency Planning</t>
  </si>
  <si>
    <t>I-290B</t>
  </si>
  <si>
    <t>I-485</t>
  </si>
  <si>
    <t>I-864W</t>
  </si>
  <si>
    <t>I-589</t>
  </si>
  <si>
    <t>I-131</t>
  </si>
  <si>
    <t>I-102</t>
  </si>
  <si>
    <t>I-129F</t>
  </si>
  <si>
    <t>I-212</t>
  </si>
  <si>
    <t>Hold For Review</t>
  </si>
  <si>
    <t>Representation - Admin. Agency</t>
  </si>
  <si>
    <t>Representation—EOIR</t>
  </si>
  <si>
    <t>Advice</t>
  </si>
  <si>
    <t>Brief Service</t>
  </si>
  <si>
    <t>Representation - State Court</t>
  </si>
  <si>
    <t>Out-of-Court Advocacy</t>
  </si>
  <si>
    <t>Representation - Federal Court</t>
  </si>
  <si>
    <t>Needs DHCI Form</t>
  </si>
  <si>
    <t>Needs Income Waiver</t>
  </si>
  <si>
    <t>Needs Substantial Activity in FY20</t>
  </si>
  <si>
    <t>Ecuador</t>
  </si>
  <si>
    <t>Dominican Republic</t>
  </si>
  <si>
    <t>El Salvador</t>
  </si>
  <si>
    <t>Honduras</t>
  </si>
  <si>
    <t>Italy</t>
  </si>
  <si>
    <t>Jamaica</t>
  </si>
  <si>
    <t>Haiti</t>
  </si>
  <si>
    <t>Nigeria</t>
  </si>
  <si>
    <t>Colombia</t>
  </si>
  <si>
    <t>United States of America</t>
  </si>
  <si>
    <t>Mexico</t>
  </si>
  <si>
    <t>Nicaragua</t>
  </si>
  <si>
    <t>United Kingdom</t>
  </si>
  <si>
    <t>Bangladesh</t>
  </si>
  <si>
    <t>China</t>
  </si>
  <si>
    <t>Belize</t>
  </si>
  <si>
    <t>Poland</t>
  </si>
  <si>
    <t>St Lucia</t>
  </si>
  <si>
    <t>Guatemala</t>
  </si>
  <si>
    <t>Philippines</t>
  </si>
  <si>
    <t>Guyana</t>
  </si>
  <si>
    <t>Chile</t>
  </si>
  <si>
    <t>Greece</t>
  </si>
  <si>
    <t>Korea (South)</t>
  </si>
  <si>
    <t>Russia</t>
  </si>
  <si>
    <t>Yemen</t>
  </si>
  <si>
    <t>Turkey</t>
  </si>
  <si>
    <t>Liberia</t>
  </si>
  <si>
    <t>Canada</t>
  </si>
  <si>
    <t>Trinidad and Tobago</t>
  </si>
  <si>
    <t>Peru</t>
  </si>
  <si>
    <t>Uruguay</t>
  </si>
  <si>
    <t>Dominica</t>
  </si>
  <si>
    <t>Barbados</t>
  </si>
  <si>
    <t>Costa Rica</t>
  </si>
  <si>
    <t>Georgia</t>
  </si>
  <si>
    <t>Kazakhstan</t>
  </si>
  <si>
    <t>Burkina Faso</t>
  </si>
  <si>
    <t>Ghana</t>
  </si>
  <si>
    <t>South Korea</t>
  </si>
  <si>
    <t>Guinea</t>
  </si>
  <si>
    <t>Venezuela</t>
  </si>
  <si>
    <t>Antigua and Barbuda</t>
  </si>
  <si>
    <t>Trinidad &amp; Tobago</t>
  </si>
  <si>
    <t>Kenya</t>
  </si>
  <si>
    <t>Romania</t>
  </si>
  <si>
    <t>Saint Kitts and Nevis</t>
  </si>
  <si>
    <t>Lithuania</t>
  </si>
  <si>
    <t>Mauritania</t>
  </si>
  <si>
    <t>Saudi Arabia</t>
  </si>
  <si>
    <t>Brazil</t>
  </si>
  <si>
    <t>Pakistan</t>
  </si>
  <si>
    <t>India</t>
  </si>
  <si>
    <t>Grenada</t>
  </si>
  <si>
    <t>Uzbekistan</t>
  </si>
  <si>
    <t>Morocco</t>
  </si>
  <si>
    <t>Saint Vincent and the Grenadines</t>
  </si>
  <si>
    <t>Gambia</t>
  </si>
  <si>
    <t>Ethiopia</t>
  </si>
  <si>
    <t>Cuba</t>
  </si>
  <si>
    <t>Jordan</t>
  </si>
  <si>
    <t>Chad</t>
  </si>
  <si>
    <t>Ukraine</t>
  </si>
  <si>
    <t>Indonesia</t>
  </si>
  <si>
    <t>Mali</t>
  </si>
  <si>
    <t>South Africa</t>
  </si>
  <si>
    <t>Palestine</t>
  </si>
  <si>
    <t>Afghanistan</t>
  </si>
  <si>
    <t>Suriname</t>
  </si>
  <si>
    <t>Panama</t>
  </si>
  <si>
    <t>Niger</t>
  </si>
  <si>
    <t>Cote d'Ivoire (Ivory Coast)</t>
  </si>
  <si>
    <t>Central African Republic</t>
  </si>
  <si>
    <t>Cayman Islands</t>
  </si>
  <si>
    <t>Cape Verde</t>
  </si>
  <si>
    <t>Egypt</t>
  </si>
  <si>
    <t>Algeria</t>
  </si>
  <si>
    <t>Argentina</t>
  </si>
  <si>
    <t>USSR (former)</t>
  </si>
  <si>
    <t>Zambia</t>
  </si>
  <si>
    <t>Paraguay</t>
  </si>
  <si>
    <t>Netherlands Antilles</t>
  </si>
  <si>
    <t>Iran</t>
  </si>
  <si>
    <t>Congo</t>
  </si>
  <si>
    <t>Botswana</t>
  </si>
  <si>
    <t>Bolivia</t>
  </si>
  <si>
    <t>St. Maartin</t>
  </si>
  <si>
    <t>Senegal</t>
  </si>
  <si>
    <t>Cameroon</t>
  </si>
  <si>
    <t>Myanmar (Burma)</t>
  </si>
  <si>
    <t>Montenegro</t>
  </si>
  <si>
    <t>Sudan</t>
  </si>
  <si>
    <t>Japan</t>
  </si>
  <si>
    <t>England</t>
  </si>
  <si>
    <t>Angola</t>
  </si>
  <si>
    <t>Germany</t>
  </si>
  <si>
    <t>Sierra Leone</t>
  </si>
  <si>
    <t>Portugal</t>
  </si>
  <si>
    <t>Togo</t>
  </si>
  <si>
    <t>Gabon</t>
  </si>
  <si>
    <t>Swaziland</t>
  </si>
  <si>
    <t>Iceland</t>
  </si>
  <si>
    <t>Belarus</t>
  </si>
  <si>
    <t>Serbia</t>
  </si>
  <si>
    <t>Equatorial Guinea</t>
  </si>
  <si>
    <t>Bahamas</t>
  </si>
  <si>
    <t>Albania</t>
  </si>
  <si>
    <t>Syria</t>
  </si>
  <si>
    <t>Unknown</t>
  </si>
  <si>
    <t>Aruba</t>
  </si>
  <si>
    <t>Slovenia</t>
  </si>
  <si>
    <t>Malaysia</t>
  </si>
  <si>
    <t>Sri Lanka</t>
  </si>
  <si>
    <t>Saint Lucia</t>
  </si>
  <si>
    <t>Denmark</t>
  </si>
  <si>
    <t>Uganda</t>
  </si>
  <si>
    <t>Puerto Rico</t>
  </si>
  <si>
    <t>Burundi</t>
  </si>
  <si>
    <t>Croatia (Hrvatska)</t>
  </si>
  <si>
    <t>Turkmenistan</t>
  </si>
  <si>
    <t>Spain</t>
  </si>
  <si>
    <t>France</t>
  </si>
  <si>
    <t>Spanish</t>
  </si>
  <si>
    <t>Tagalog</t>
  </si>
  <si>
    <t>Russian</t>
  </si>
  <si>
    <t>English</t>
  </si>
  <si>
    <t>Italian</t>
  </si>
  <si>
    <t>Chinese/Mandarin</t>
  </si>
  <si>
    <t>Polish</t>
  </si>
  <si>
    <t>Konjobal</t>
  </si>
  <si>
    <t>Korean</t>
  </si>
  <si>
    <t>Arabic</t>
  </si>
  <si>
    <t>Other</t>
  </si>
  <si>
    <t>Turkish</t>
  </si>
  <si>
    <t>Bengali</t>
  </si>
  <si>
    <t>French</t>
  </si>
  <si>
    <t>Zapotec</t>
  </si>
  <si>
    <t>Rumanian</t>
  </si>
  <si>
    <t>Portuguese</t>
  </si>
  <si>
    <t>Urdu</t>
  </si>
  <si>
    <t>French Creole</t>
  </si>
  <si>
    <t>Creole</t>
  </si>
  <si>
    <t>Panjabi</t>
  </si>
  <si>
    <t>Ukrainian</t>
  </si>
  <si>
    <t>Cantonese</t>
  </si>
  <si>
    <t>Mandarin</t>
  </si>
  <si>
    <t>Hindi</t>
  </si>
  <si>
    <t>Albanian</t>
  </si>
  <si>
    <t>Amer. Sign Lang.</t>
  </si>
  <si>
    <t>Finnish</t>
  </si>
  <si>
    <t>Croatian</t>
  </si>
  <si>
    <t>Japanese</t>
  </si>
  <si>
    <t>Slovak</t>
  </si>
  <si>
    <t>Application Submitted</t>
  </si>
  <si>
    <t>Advice given</t>
  </si>
  <si>
    <t>Advice Given</t>
  </si>
  <si>
    <t>Decided by Presiding Court/Tribunal-APPROVED</t>
  </si>
  <si>
    <t>*Needs Outcome*</t>
  </si>
  <si>
    <t>Application Granted</t>
  </si>
  <si>
    <t>Inquiry Submitted</t>
  </si>
  <si>
    <t>Application Rejected</t>
  </si>
  <si>
    <t>Decided by Presiding Court/Tribunal—DENIED</t>
  </si>
  <si>
    <t>Complaint Submitted</t>
  </si>
  <si>
    <t>Client withdrew/did not return</t>
  </si>
  <si>
    <t>Pre-Litigation Settlement in Employment Case</t>
  </si>
  <si>
    <t>T1-OTH_G639</t>
  </si>
  <si>
    <t>T2-HO_I914</t>
  </si>
  <si>
    <t>Something is wrong</t>
  </si>
  <si>
    <t>T2-SIJS</t>
  </si>
  <si>
    <t>T2-RD</t>
  </si>
  <si>
    <t>T2-AR</t>
  </si>
  <si>
    <t>T1-EAD</t>
  </si>
  <si>
    <t>T1-CIT</t>
  </si>
  <si>
    <t>T1-OTH_I824</t>
  </si>
  <si>
    <t>T1-CON</t>
  </si>
  <si>
    <t>T1-GCR</t>
  </si>
  <si>
    <t>T1-TPS</t>
  </si>
  <si>
    <t>T1-AOS</t>
  </si>
  <si>
    <t>T1-MAR</t>
  </si>
  <si>
    <t>T2-REPO_CRIM</t>
  </si>
  <si>
    <t>T1-FAM</t>
  </si>
  <si>
    <t>T2-HO_I929</t>
  </si>
  <si>
    <t>T2-HO_I918</t>
  </si>
  <si>
    <t>T2-APO</t>
  </si>
  <si>
    <t>B -ADVI</t>
  </si>
  <si>
    <t>T2-WOI</t>
  </si>
  <si>
    <t>T1-TRV</t>
  </si>
  <si>
    <t>T1-OTH_AR-11</t>
  </si>
  <si>
    <t>T1-DACA</t>
  </si>
  <si>
    <t>B -INQ</t>
  </si>
  <si>
    <t>T1-OTH_I-912</t>
  </si>
  <si>
    <t>T2-VAWA</t>
  </si>
  <si>
    <t>T2-FC</t>
  </si>
  <si>
    <t>T1-SC</t>
  </si>
  <si>
    <t>B -CERT</t>
  </si>
  <si>
    <t>T2-OTH_I-192</t>
  </si>
  <si>
    <t>B -EMP</t>
  </si>
  <si>
    <t>T1-OTH_I539</t>
  </si>
  <si>
    <t>T1-OTH_NameChange</t>
  </si>
  <si>
    <t>B -APD</t>
  </si>
  <si>
    <t>T1-OTH_I102</t>
  </si>
  <si>
    <t>No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</si>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</sst>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032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HYPERLINK("https://lsnyc.legalserver.org/matter/dynamic-profile/view/1915447","19-1915447")</f>
        <v>0</v>
      </c>
      <c r="B2" t="s">
        <v>14</v>
      </c>
      <c r="C2" t="s">
        <v>20</v>
      </c>
      <c r="D2" t="s">
        <v>82</v>
      </c>
      <c r="E2" t="s">
        <v>2370</v>
      </c>
      <c r="F2" t="s">
        <v>2436</v>
      </c>
      <c r="G2" t="s">
        <v>2444</v>
      </c>
      <c r="J2" t="s">
        <v>2447</v>
      </c>
      <c r="K2" t="s">
        <v>2569</v>
      </c>
      <c r="M2" t="s">
        <v>2436</v>
      </c>
    </row>
    <row r="3" spans="1:14">
      <c r="A3" s="1">
        <f>HYPERLINK("https://lsnyc.legalserver.org/matter/dynamic-profile/view/1915459","19-1915459")</f>
        <v>0</v>
      </c>
      <c r="B3" t="s">
        <v>14</v>
      </c>
      <c r="C3" t="s">
        <v>21</v>
      </c>
      <c r="D3" t="s">
        <v>83</v>
      </c>
      <c r="E3" t="s">
        <v>2371</v>
      </c>
      <c r="G3" t="s">
        <v>2444</v>
      </c>
      <c r="K3" t="s">
        <v>2569</v>
      </c>
      <c r="M3" t="s">
        <v>2612</v>
      </c>
    </row>
    <row r="4" spans="1:14">
      <c r="A4" s="1">
        <f>HYPERLINK("https://lsnyc.legalserver.org/matter/dynamic-profile/view/1915498","19-1915498")</f>
        <v>0</v>
      </c>
      <c r="B4" t="s">
        <v>15</v>
      </c>
      <c r="C4" t="s">
        <v>22</v>
      </c>
      <c r="D4" t="s">
        <v>84</v>
      </c>
      <c r="E4" t="s">
        <v>2372</v>
      </c>
      <c r="G4" t="s">
        <v>2444</v>
      </c>
      <c r="K4" t="s">
        <v>2570</v>
      </c>
      <c r="M4" t="s">
        <v>2613</v>
      </c>
    </row>
    <row r="5" spans="1:14">
      <c r="A5" s="1">
        <f>HYPERLINK("https://lsnyc.legalserver.org/matter/dynamic-profile/view/1915345","19-1915345")</f>
        <v>0</v>
      </c>
      <c r="B5" t="s">
        <v>16</v>
      </c>
      <c r="C5" t="s">
        <v>23</v>
      </c>
      <c r="D5" t="s">
        <v>85</v>
      </c>
      <c r="G5" t="s">
        <v>2444</v>
      </c>
      <c r="J5" t="s">
        <v>2448</v>
      </c>
      <c r="K5" t="s">
        <v>2569</v>
      </c>
      <c r="M5" t="s">
        <v>2614</v>
      </c>
    </row>
    <row r="6" spans="1:14">
      <c r="A6" s="1">
        <f>HYPERLINK("https://lsnyc.legalserver.org/matter/dynamic-profile/view/1915415","19-1915415")</f>
        <v>0</v>
      </c>
      <c r="B6" t="s">
        <v>16</v>
      </c>
      <c r="C6" t="s">
        <v>24</v>
      </c>
      <c r="D6" t="s">
        <v>86</v>
      </c>
      <c r="G6" t="s">
        <v>2444</v>
      </c>
      <c r="K6" t="s">
        <v>2571</v>
      </c>
      <c r="M6" t="s">
        <v>2614</v>
      </c>
    </row>
    <row r="7" spans="1:14">
      <c r="A7" s="1">
        <f>HYPERLINK("https://lsnyc.legalserver.org/matter/dynamic-profile/view/1915439","19-1915439")</f>
        <v>0</v>
      </c>
      <c r="B7" t="s">
        <v>15</v>
      </c>
      <c r="C7" t="s">
        <v>22</v>
      </c>
      <c r="D7" t="s">
        <v>87</v>
      </c>
      <c r="E7" t="s">
        <v>2373</v>
      </c>
      <c r="G7" t="s">
        <v>2444</v>
      </c>
      <c r="K7" t="s">
        <v>2572</v>
      </c>
      <c r="M7" t="s">
        <v>2615</v>
      </c>
    </row>
    <row r="8" spans="1:14">
      <c r="A8" s="1">
        <f>HYPERLINK("https://lsnyc.legalserver.org/matter/dynamic-profile/view/1915441","19-1915441")</f>
        <v>0</v>
      </c>
      <c r="B8" t="s">
        <v>15</v>
      </c>
      <c r="C8" t="s">
        <v>22</v>
      </c>
      <c r="D8" t="s">
        <v>88</v>
      </c>
      <c r="E8" t="s">
        <v>2374</v>
      </c>
      <c r="J8" t="s">
        <v>2449</v>
      </c>
      <c r="K8" t="s">
        <v>2569</v>
      </c>
      <c r="M8" t="s">
        <v>2616</v>
      </c>
    </row>
    <row r="9" spans="1:14">
      <c r="A9" s="1">
        <f>HYPERLINK("https://lsnyc.legalserver.org/matter/dynamic-profile/view/1913083","19-1913083")</f>
        <v>0</v>
      </c>
      <c r="B9" t="s">
        <v>17</v>
      </c>
      <c r="C9" t="s">
        <v>25</v>
      </c>
      <c r="D9" t="s">
        <v>89</v>
      </c>
      <c r="G9" t="s">
        <v>2444</v>
      </c>
      <c r="K9" t="s">
        <v>2569</v>
      </c>
      <c r="M9" t="s">
        <v>2614</v>
      </c>
    </row>
    <row r="10" spans="1:14">
      <c r="A10" s="1">
        <f>HYPERLINK("https://lsnyc.legalserver.org/matter/dynamic-profile/view/1915260","19-1915260")</f>
        <v>0</v>
      </c>
      <c r="B10" t="s">
        <v>14</v>
      </c>
      <c r="C10" t="s">
        <v>26</v>
      </c>
      <c r="D10" t="s">
        <v>90</v>
      </c>
      <c r="E10" t="s">
        <v>2375</v>
      </c>
      <c r="G10" t="s">
        <v>2444</v>
      </c>
      <c r="J10" t="s">
        <v>2450</v>
      </c>
      <c r="K10" t="s">
        <v>2569</v>
      </c>
      <c r="M10" t="s">
        <v>2617</v>
      </c>
    </row>
    <row r="11" spans="1:14">
      <c r="A11" s="1">
        <f>HYPERLINK("https://lsnyc.legalserver.org/matter/dynamic-profile/view/1915282","19-1915282")</f>
        <v>0</v>
      </c>
      <c r="B11" t="s">
        <v>14</v>
      </c>
      <c r="C11" t="s">
        <v>26</v>
      </c>
      <c r="D11" t="s">
        <v>91</v>
      </c>
      <c r="E11" t="s">
        <v>2376</v>
      </c>
      <c r="G11" t="s">
        <v>2444</v>
      </c>
      <c r="J11" t="s">
        <v>2448</v>
      </c>
      <c r="K11" t="s">
        <v>2569</v>
      </c>
      <c r="M11" t="s">
        <v>2618</v>
      </c>
    </row>
    <row r="12" spans="1:14">
      <c r="A12" s="1">
        <f>HYPERLINK("https://lsnyc.legalserver.org/matter/dynamic-profile/view/1915287","19-1915287")</f>
        <v>0</v>
      </c>
      <c r="B12" t="s">
        <v>14</v>
      </c>
      <c r="C12" t="s">
        <v>26</v>
      </c>
      <c r="D12" t="s">
        <v>92</v>
      </c>
      <c r="E12" t="s">
        <v>2376</v>
      </c>
      <c r="G12" t="s">
        <v>2444</v>
      </c>
      <c r="J12" t="s">
        <v>2451</v>
      </c>
      <c r="K12" t="s">
        <v>2573</v>
      </c>
      <c r="M12" t="s">
        <v>2618</v>
      </c>
    </row>
    <row r="13" spans="1:14">
      <c r="A13" s="1">
        <f>HYPERLINK("https://lsnyc.legalserver.org/matter/dynamic-profile/view/1915326","19-1915326")</f>
        <v>0</v>
      </c>
      <c r="B13" t="s">
        <v>14</v>
      </c>
      <c r="C13" t="s">
        <v>21</v>
      </c>
      <c r="D13" t="s">
        <v>93</v>
      </c>
      <c r="E13" t="s">
        <v>2376</v>
      </c>
      <c r="G13" t="s">
        <v>2444</v>
      </c>
      <c r="K13" t="s">
        <v>2569</v>
      </c>
      <c r="M13" t="s">
        <v>2618</v>
      </c>
    </row>
    <row r="14" spans="1:14">
      <c r="A14" s="1">
        <f>HYPERLINK("https://lsnyc.legalserver.org/matter/dynamic-profile/view/1915328","19-1915328")</f>
        <v>0</v>
      </c>
      <c r="B14" t="s">
        <v>15</v>
      </c>
      <c r="C14" t="s">
        <v>22</v>
      </c>
      <c r="D14" t="s">
        <v>94</v>
      </c>
      <c r="E14" t="s">
        <v>2377</v>
      </c>
      <c r="K14" t="s">
        <v>2572</v>
      </c>
      <c r="M14" t="s">
        <v>2614</v>
      </c>
    </row>
    <row r="15" spans="1:14">
      <c r="A15" s="1">
        <f>HYPERLINK("https://lsnyc.legalserver.org/matter/dynamic-profile/view/1915336","19-1915336")</f>
        <v>0</v>
      </c>
      <c r="B15" t="s">
        <v>15</v>
      </c>
      <c r="C15" t="s">
        <v>22</v>
      </c>
      <c r="D15" t="s">
        <v>95</v>
      </c>
      <c r="E15" t="s">
        <v>2376</v>
      </c>
      <c r="J15" t="s">
        <v>2452</v>
      </c>
      <c r="K15" t="s">
        <v>2572</v>
      </c>
      <c r="M15" t="s">
        <v>2618</v>
      </c>
    </row>
    <row r="16" spans="1:14">
      <c r="A16" s="1">
        <f>HYPERLINK("https://lsnyc.legalserver.org/matter/dynamic-profile/view/1915377","19-1915377")</f>
        <v>0</v>
      </c>
      <c r="B16" t="s">
        <v>17</v>
      </c>
      <c r="C16" t="s">
        <v>25</v>
      </c>
      <c r="D16" t="s">
        <v>96</v>
      </c>
      <c r="G16" t="s">
        <v>2444</v>
      </c>
      <c r="H16" t="s">
        <v>2445</v>
      </c>
      <c r="K16" t="s">
        <v>2572</v>
      </c>
      <c r="M16" t="s">
        <v>2614</v>
      </c>
    </row>
    <row r="17" spans="1:14">
      <c r="A17" s="1">
        <f>HYPERLINK("https://lsnyc.legalserver.org/matter/dynamic-profile/view/1915081","19-1915081")</f>
        <v>0</v>
      </c>
      <c r="B17" t="s">
        <v>18</v>
      </c>
      <c r="C17" t="s">
        <v>27</v>
      </c>
      <c r="D17" t="s">
        <v>97</v>
      </c>
      <c r="E17" t="s">
        <v>2378</v>
      </c>
      <c r="J17" t="s">
        <v>2453</v>
      </c>
      <c r="K17" t="s">
        <v>2572</v>
      </c>
      <c r="M17" t="s">
        <v>2619</v>
      </c>
    </row>
    <row r="18" spans="1:14">
      <c r="A18" s="1">
        <f>HYPERLINK("https://lsnyc.legalserver.org/matter/dynamic-profile/view/1915380","19-1915380")</f>
        <v>0</v>
      </c>
      <c r="B18" t="s">
        <v>17</v>
      </c>
      <c r="C18" t="s">
        <v>28</v>
      </c>
      <c r="D18" t="s">
        <v>98</v>
      </c>
      <c r="G18" t="s">
        <v>2444</v>
      </c>
      <c r="K18" t="s">
        <v>2569</v>
      </c>
      <c r="M18" t="s">
        <v>2614</v>
      </c>
    </row>
    <row r="19" spans="1:14">
      <c r="A19" s="1">
        <f>HYPERLINK("https://lsnyc.legalserver.org/matter/dynamic-profile/view/1915384","19-1915384")</f>
        <v>0</v>
      </c>
      <c r="B19" t="s">
        <v>17</v>
      </c>
      <c r="C19" t="s">
        <v>28</v>
      </c>
      <c r="D19" t="s">
        <v>99</v>
      </c>
      <c r="G19" t="s">
        <v>2444</v>
      </c>
      <c r="M19" t="s">
        <v>2614</v>
      </c>
    </row>
    <row r="20" spans="1:14">
      <c r="A20" s="1">
        <f>HYPERLINK("https://lsnyc.legalserver.org/matter/dynamic-profile/view/1915387","19-1915387")</f>
        <v>0</v>
      </c>
      <c r="B20" t="s">
        <v>17</v>
      </c>
      <c r="C20" t="s">
        <v>28</v>
      </c>
      <c r="D20" t="s">
        <v>100</v>
      </c>
      <c r="G20" t="s">
        <v>2444</v>
      </c>
      <c r="K20" t="s">
        <v>2569</v>
      </c>
      <c r="M20" t="s">
        <v>2614</v>
      </c>
    </row>
    <row r="21" spans="1:14">
      <c r="A21" s="1">
        <f>HYPERLINK("https://lsnyc.legalserver.org/matter/dynamic-profile/view/1913727","19-1913727")</f>
        <v>0</v>
      </c>
      <c r="B21" t="s">
        <v>17</v>
      </c>
      <c r="C21" t="s">
        <v>25</v>
      </c>
      <c r="D21" t="s">
        <v>101</v>
      </c>
      <c r="G21" t="s">
        <v>2444</v>
      </c>
      <c r="J21" t="s">
        <v>2454</v>
      </c>
      <c r="K21" t="s">
        <v>2572</v>
      </c>
      <c r="M21" t="s">
        <v>2614</v>
      </c>
    </row>
    <row r="22" spans="1:14">
      <c r="A22" s="1">
        <f>HYPERLINK("https://lsnyc.legalserver.org/matter/dynamic-profile/view/1914956","19-1914956")</f>
        <v>0</v>
      </c>
      <c r="B22" t="s">
        <v>15</v>
      </c>
      <c r="C22" t="s">
        <v>29</v>
      </c>
      <c r="D22" t="s">
        <v>102</v>
      </c>
      <c r="E22" t="s">
        <v>2379</v>
      </c>
      <c r="G22" t="s">
        <v>2444</v>
      </c>
      <c r="J22" t="s">
        <v>2455</v>
      </c>
      <c r="K22" t="s">
        <v>2569</v>
      </c>
      <c r="M22" t="s">
        <v>2620</v>
      </c>
    </row>
    <row r="23" spans="1:14">
      <c r="A23" s="1">
        <f>HYPERLINK("https://lsnyc.legalserver.org/matter/dynamic-profile/view/1914735","19-1914735")</f>
        <v>0</v>
      </c>
      <c r="B23" t="s">
        <v>18</v>
      </c>
      <c r="C23" t="s">
        <v>27</v>
      </c>
      <c r="D23" t="s">
        <v>103</v>
      </c>
      <c r="E23" t="s">
        <v>2380</v>
      </c>
      <c r="F23" t="s">
        <v>2437</v>
      </c>
      <c r="J23" t="s">
        <v>2456</v>
      </c>
      <c r="K23" t="s">
        <v>2572</v>
      </c>
      <c r="M23" t="s">
        <v>2621</v>
      </c>
      <c r="N23" t="s">
        <v>2648</v>
      </c>
    </row>
    <row r="24" spans="1:14">
      <c r="A24" s="1">
        <f>HYPERLINK("https://lsnyc.legalserver.org/matter/dynamic-profile/view/1914324","19-1914324")</f>
        <v>0</v>
      </c>
      <c r="B24" t="s">
        <v>15</v>
      </c>
      <c r="C24" t="s">
        <v>30</v>
      </c>
      <c r="D24" t="s">
        <v>104</v>
      </c>
      <c r="E24" t="s">
        <v>2374</v>
      </c>
      <c r="G24" t="s">
        <v>2444</v>
      </c>
      <c r="J24" t="s">
        <v>2449</v>
      </c>
      <c r="K24" t="s">
        <v>2569</v>
      </c>
      <c r="M24" t="s">
        <v>2616</v>
      </c>
    </row>
    <row r="25" spans="1:14">
      <c r="A25" s="1">
        <f>HYPERLINK("https://lsnyc.legalserver.org/matter/dynamic-profile/view/1914576","19-1914576")</f>
        <v>0</v>
      </c>
      <c r="B25" t="s">
        <v>15</v>
      </c>
      <c r="C25" t="s">
        <v>31</v>
      </c>
      <c r="D25" t="s">
        <v>105</v>
      </c>
      <c r="E25" t="s">
        <v>2381</v>
      </c>
      <c r="G25" t="s">
        <v>2444</v>
      </c>
      <c r="J25" t="s">
        <v>2453</v>
      </c>
      <c r="K25" t="s">
        <v>2572</v>
      </c>
      <c r="M25" t="s">
        <v>2622</v>
      </c>
    </row>
    <row r="26" spans="1:14">
      <c r="A26" s="1">
        <f>HYPERLINK("https://lsnyc.legalserver.org/matter/dynamic-profile/view/1914891","19-1914891")</f>
        <v>0</v>
      </c>
      <c r="B26" t="s">
        <v>15</v>
      </c>
      <c r="C26" t="s">
        <v>32</v>
      </c>
      <c r="D26" t="s">
        <v>106</v>
      </c>
      <c r="E26" t="s">
        <v>2374</v>
      </c>
      <c r="G26" t="s">
        <v>2444</v>
      </c>
      <c r="J26" t="s">
        <v>2450</v>
      </c>
      <c r="K26" t="s">
        <v>2569</v>
      </c>
      <c r="M26" t="s">
        <v>2616</v>
      </c>
    </row>
    <row r="27" spans="1:14">
      <c r="A27" s="1">
        <f>HYPERLINK("https://lsnyc.legalserver.org/matter/dynamic-profile/view/1914392","19-1914392")</f>
        <v>0</v>
      </c>
      <c r="B27" t="s">
        <v>14</v>
      </c>
      <c r="C27" t="s">
        <v>33</v>
      </c>
      <c r="D27" t="s">
        <v>107</v>
      </c>
      <c r="E27" t="s">
        <v>2376</v>
      </c>
      <c r="F27" t="s">
        <v>2437</v>
      </c>
      <c r="J27" t="s">
        <v>2450</v>
      </c>
      <c r="K27" t="s">
        <v>2569</v>
      </c>
      <c r="L27" t="s">
        <v>2600</v>
      </c>
      <c r="M27" t="s">
        <v>2618</v>
      </c>
      <c r="N27" t="s">
        <v>2649</v>
      </c>
    </row>
    <row r="28" spans="1:14">
      <c r="A28" s="1">
        <f>HYPERLINK("https://lsnyc.legalserver.org/matter/dynamic-profile/view/1914233","19-1914233")</f>
        <v>0</v>
      </c>
      <c r="B28" t="s">
        <v>19</v>
      </c>
      <c r="C28" t="s">
        <v>24</v>
      </c>
      <c r="D28" t="s">
        <v>108</v>
      </c>
      <c r="E28" t="s">
        <v>2370</v>
      </c>
      <c r="F28" t="s">
        <v>2436</v>
      </c>
      <c r="J28" t="s">
        <v>2457</v>
      </c>
      <c r="K28" t="s">
        <v>2569</v>
      </c>
      <c r="M28" t="s">
        <v>2436</v>
      </c>
    </row>
    <row r="29" spans="1:14">
      <c r="A29" s="1">
        <f>HYPERLINK("https://lsnyc.legalserver.org/matter/dynamic-profile/view/1914253","19-1914253")</f>
        <v>0</v>
      </c>
      <c r="B29" t="s">
        <v>18</v>
      </c>
      <c r="C29" t="s">
        <v>34</v>
      </c>
      <c r="D29" t="s">
        <v>109</v>
      </c>
      <c r="E29" t="s">
        <v>2382</v>
      </c>
      <c r="G29" t="s">
        <v>2444</v>
      </c>
      <c r="J29" t="s">
        <v>2450</v>
      </c>
      <c r="K29" t="s">
        <v>2569</v>
      </c>
      <c r="M29" t="s">
        <v>2623</v>
      </c>
    </row>
    <row r="30" spans="1:14">
      <c r="A30" s="1">
        <f>HYPERLINK("https://lsnyc.legalserver.org/matter/dynamic-profile/view/1914307","19-1914307")</f>
        <v>0</v>
      </c>
      <c r="B30" t="s">
        <v>14</v>
      </c>
      <c r="C30" t="s">
        <v>20</v>
      </c>
      <c r="D30" t="s">
        <v>110</v>
      </c>
      <c r="E30" t="s">
        <v>2374</v>
      </c>
      <c r="F30" t="s">
        <v>2438</v>
      </c>
      <c r="J30" t="s">
        <v>2450</v>
      </c>
      <c r="K30" t="s">
        <v>2569</v>
      </c>
      <c r="M30" t="s">
        <v>2616</v>
      </c>
      <c r="N30" t="s">
        <v>2649</v>
      </c>
    </row>
    <row r="31" spans="1:14">
      <c r="A31" s="1">
        <f>HYPERLINK("https://lsnyc.legalserver.org/matter/dynamic-profile/view/1914318","19-1914318")</f>
        <v>0</v>
      </c>
      <c r="B31" t="s">
        <v>18</v>
      </c>
      <c r="C31" t="s">
        <v>35</v>
      </c>
      <c r="D31" t="s">
        <v>111</v>
      </c>
      <c r="E31" t="s">
        <v>2383</v>
      </c>
      <c r="F31" t="s">
        <v>2437</v>
      </c>
      <c r="G31" t="s">
        <v>2444</v>
      </c>
      <c r="J31" t="s">
        <v>2457</v>
      </c>
      <c r="K31" t="s">
        <v>2572</v>
      </c>
      <c r="M31" t="s">
        <v>2624</v>
      </c>
    </row>
    <row r="32" spans="1:14">
      <c r="A32" s="1">
        <f>HYPERLINK("https://lsnyc.legalserver.org/matter/dynamic-profile/view/1912627","19-1912627")</f>
        <v>0</v>
      </c>
      <c r="B32" t="s">
        <v>17</v>
      </c>
      <c r="C32" t="s">
        <v>36</v>
      </c>
      <c r="D32" t="s">
        <v>112</v>
      </c>
      <c r="G32" t="s">
        <v>2444</v>
      </c>
      <c r="J32" t="s">
        <v>2458</v>
      </c>
      <c r="K32" t="s">
        <v>2569</v>
      </c>
      <c r="M32" t="s">
        <v>2614</v>
      </c>
    </row>
    <row r="33" spans="1:14">
      <c r="A33" s="1">
        <f>HYPERLINK("https://lsnyc.legalserver.org/matter/dynamic-profile/view/1914439","19-1914439")</f>
        <v>0</v>
      </c>
      <c r="B33" t="s">
        <v>15</v>
      </c>
      <c r="C33" t="s">
        <v>30</v>
      </c>
      <c r="D33" t="s">
        <v>113</v>
      </c>
      <c r="E33" t="s">
        <v>2383</v>
      </c>
      <c r="G33" t="s">
        <v>2444</v>
      </c>
      <c r="J33" t="s">
        <v>2452</v>
      </c>
      <c r="K33" t="s">
        <v>2572</v>
      </c>
      <c r="M33" t="s">
        <v>2624</v>
      </c>
    </row>
    <row r="34" spans="1:14">
      <c r="A34" s="1">
        <f>HYPERLINK("https://lsnyc.legalserver.org/matter/dynamic-profile/view/1913964","19-1913964")</f>
        <v>0</v>
      </c>
      <c r="B34" t="s">
        <v>15</v>
      </c>
      <c r="C34" t="s">
        <v>30</v>
      </c>
      <c r="D34" t="s">
        <v>114</v>
      </c>
      <c r="E34" t="s">
        <v>2376</v>
      </c>
      <c r="G34" t="s">
        <v>2444</v>
      </c>
      <c r="J34" t="s">
        <v>2459</v>
      </c>
      <c r="K34" t="s">
        <v>2572</v>
      </c>
      <c r="M34" t="s">
        <v>2618</v>
      </c>
    </row>
    <row r="35" spans="1:14">
      <c r="A35" s="1">
        <f>HYPERLINK("https://lsnyc.legalserver.org/matter/dynamic-profile/view/1913788","19-1913788")</f>
        <v>0</v>
      </c>
      <c r="B35" t="s">
        <v>14</v>
      </c>
      <c r="C35" t="s">
        <v>21</v>
      </c>
      <c r="D35" t="s">
        <v>115</v>
      </c>
      <c r="E35" t="s">
        <v>2383</v>
      </c>
      <c r="G35" t="s">
        <v>2444</v>
      </c>
      <c r="K35" t="s">
        <v>2572</v>
      </c>
      <c r="M35" t="s">
        <v>2624</v>
      </c>
    </row>
    <row r="36" spans="1:14">
      <c r="A36" s="1">
        <f>HYPERLINK("https://lsnyc.legalserver.org/matter/dynamic-profile/view/1913817","19-1913817")</f>
        <v>0</v>
      </c>
      <c r="B36" t="s">
        <v>15</v>
      </c>
      <c r="C36" t="s">
        <v>29</v>
      </c>
      <c r="D36" t="s">
        <v>116</v>
      </c>
      <c r="E36" t="s">
        <v>2384</v>
      </c>
      <c r="G36" t="s">
        <v>2444</v>
      </c>
      <c r="J36" t="s">
        <v>2460</v>
      </c>
      <c r="K36" t="s">
        <v>2572</v>
      </c>
      <c r="M36" t="s">
        <v>2625</v>
      </c>
    </row>
    <row r="37" spans="1:14">
      <c r="A37" s="1">
        <f>HYPERLINK("https://lsnyc.legalserver.org/matter/dynamic-profile/view/1913822","19-1913822")</f>
        <v>0</v>
      </c>
      <c r="B37" t="s">
        <v>17</v>
      </c>
      <c r="C37" t="s">
        <v>25</v>
      </c>
      <c r="D37" t="s">
        <v>117</v>
      </c>
      <c r="E37" t="s">
        <v>2375</v>
      </c>
      <c r="G37" t="s">
        <v>2444</v>
      </c>
      <c r="J37" t="s">
        <v>2454</v>
      </c>
      <c r="K37" t="s">
        <v>2572</v>
      </c>
      <c r="M37" t="s">
        <v>2617</v>
      </c>
    </row>
    <row r="38" spans="1:14">
      <c r="A38" s="1">
        <f>HYPERLINK("https://lsnyc.legalserver.org/matter/dynamic-profile/view/1913823","19-1913823")</f>
        <v>0</v>
      </c>
      <c r="B38" t="s">
        <v>15</v>
      </c>
      <c r="C38" t="s">
        <v>29</v>
      </c>
      <c r="D38" t="s">
        <v>118</v>
      </c>
      <c r="E38" t="s">
        <v>2376</v>
      </c>
      <c r="G38" t="s">
        <v>2444</v>
      </c>
      <c r="K38" t="s">
        <v>2569</v>
      </c>
      <c r="M38" t="s">
        <v>2618</v>
      </c>
    </row>
    <row r="39" spans="1:14">
      <c r="A39" s="1">
        <f>HYPERLINK("https://lsnyc.legalserver.org/matter/dynamic-profile/view/1913848","19-1913848")</f>
        <v>0</v>
      </c>
      <c r="B39" t="s">
        <v>18</v>
      </c>
      <c r="C39" t="s">
        <v>34</v>
      </c>
      <c r="D39" t="s">
        <v>119</v>
      </c>
      <c r="E39" t="s">
        <v>2374</v>
      </c>
      <c r="F39" t="s">
        <v>2438</v>
      </c>
      <c r="J39" t="s">
        <v>2461</v>
      </c>
      <c r="K39" t="s">
        <v>2574</v>
      </c>
      <c r="L39" t="s">
        <v>2600</v>
      </c>
      <c r="M39" t="s">
        <v>2616</v>
      </c>
      <c r="N39" t="s">
        <v>2648</v>
      </c>
    </row>
    <row r="40" spans="1:14">
      <c r="A40" s="1">
        <f>HYPERLINK("https://lsnyc.legalserver.org/matter/dynamic-profile/view/1913853","19-1913853")</f>
        <v>0</v>
      </c>
      <c r="B40" t="s">
        <v>18</v>
      </c>
      <c r="C40" t="s">
        <v>34</v>
      </c>
      <c r="D40" t="s">
        <v>119</v>
      </c>
      <c r="E40" t="s">
        <v>2385</v>
      </c>
      <c r="F40" t="s">
        <v>2438</v>
      </c>
      <c r="J40" t="s">
        <v>2461</v>
      </c>
      <c r="K40" t="s">
        <v>2574</v>
      </c>
      <c r="L40" t="s">
        <v>2600</v>
      </c>
      <c r="M40" t="s">
        <v>2616</v>
      </c>
      <c r="N40" t="s">
        <v>2648</v>
      </c>
    </row>
    <row r="41" spans="1:14">
      <c r="A41" s="1">
        <f>HYPERLINK("https://lsnyc.legalserver.org/matter/dynamic-profile/view/1913906","19-1913906")</f>
        <v>0</v>
      </c>
      <c r="B41" t="s">
        <v>18</v>
      </c>
      <c r="C41" t="s">
        <v>27</v>
      </c>
      <c r="D41" t="s">
        <v>120</v>
      </c>
      <c r="E41" t="s">
        <v>2385</v>
      </c>
      <c r="F41" t="s">
        <v>2438</v>
      </c>
      <c r="J41" t="s">
        <v>2450</v>
      </c>
      <c r="K41" t="s">
        <v>2569</v>
      </c>
      <c r="M41" t="s">
        <v>2616</v>
      </c>
      <c r="N41" t="s">
        <v>2649</v>
      </c>
    </row>
    <row r="42" spans="1:14">
      <c r="A42" s="1">
        <f>HYPERLINK("https://lsnyc.legalserver.org/matter/dynamic-profile/view/1913908","19-1913908")</f>
        <v>0</v>
      </c>
      <c r="B42" t="s">
        <v>18</v>
      </c>
      <c r="C42" t="s">
        <v>27</v>
      </c>
      <c r="D42" t="s">
        <v>121</v>
      </c>
      <c r="E42" t="s">
        <v>2385</v>
      </c>
      <c r="F42" t="s">
        <v>2438</v>
      </c>
      <c r="J42" t="s">
        <v>2450</v>
      </c>
      <c r="K42" t="s">
        <v>2569</v>
      </c>
      <c r="M42" t="s">
        <v>2616</v>
      </c>
      <c r="N42" t="s">
        <v>2649</v>
      </c>
    </row>
    <row r="43" spans="1:14">
      <c r="A43" s="1">
        <f>HYPERLINK("https://lsnyc.legalserver.org/matter/dynamic-profile/view/1913910","19-1913910")</f>
        <v>0</v>
      </c>
      <c r="B43" t="s">
        <v>18</v>
      </c>
      <c r="C43" t="s">
        <v>27</v>
      </c>
      <c r="D43" t="s">
        <v>122</v>
      </c>
      <c r="E43" t="s">
        <v>2385</v>
      </c>
      <c r="F43" t="s">
        <v>2438</v>
      </c>
      <c r="J43" t="s">
        <v>2450</v>
      </c>
      <c r="K43" t="s">
        <v>2569</v>
      </c>
      <c r="M43" t="s">
        <v>2616</v>
      </c>
      <c r="N43" t="s">
        <v>2649</v>
      </c>
    </row>
    <row r="44" spans="1:14">
      <c r="A44" s="1">
        <f>HYPERLINK("https://lsnyc.legalserver.org/matter/dynamic-profile/view/1913912","19-1913912")</f>
        <v>0</v>
      </c>
      <c r="B44" t="s">
        <v>18</v>
      </c>
      <c r="C44" t="s">
        <v>27</v>
      </c>
      <c r="D44" t="s">
        <v>123</v>
      </c>
      <c r="E44" t="s">
        <v>2385</v>
      </c>
      <c r="F44" t="s">
        <v>2438</v>
      </c>
      <c r="J44" t="s">
        <v>2450</v>
      </c>
      <c r="K44" t="s">
        <v>2569</v>
      </c>
      <c r="M44" t="s">
        <v>2616</v>
      </c>
      <c r="N44" t="s">
        <v>2649</v>
      </c>
    </row>
    <row r="45" spans="1:14">
      <c r="A45" s="1">
        <f>HYPERLINK("https://lsnyc.legalserver.org/matter/dynamic-profile/view/1913708","19-1913708")</f>
        <v>0</v>
      </c>
      <c r="B45" t="s">
        <v>18</v>
      </c>
      <c r="C45" t="s">
        <v>27</v>
      </c>
      <c r="D45" t="s">
        <v>124</v>
      </c>
      <c r="E45" t="s">
        <v>2380</v>
      </c>
      <c r="F45" t="s">
        <v>2437</v>
      </c>
      <c r="J45" t="s">
        <v>2457</v>
      </c>
      <c r="K45" t="s">
        <v>2569</v>
      </c>
      <c r="M45" t="s">
        <v>2626</v>
      </c>
      <c r="N45" t="s">
        <v>2648</v>
      </c>
    </row>
    <row r="46" spans="1:14">
      <c r="A46" s="1">
        <f>HYPERLINK("https://lsnyc.legalserver.org/matter/dynamic-profile/view/1913731","19-1913731")</f>
        <v>0</v>
      </c>
      <c r="B46" t="s">
        <v>15</v>
      </c>
      <c r="C46" t="s">
        <v>37</v>
      </c>
      <c r="D46" t="s">
        <v>125</v>
      </c>
      <c r="E46" t="s">
        <v>2376</v>
      </c>
      <c r="G46" t="s">
        <v>2444</v>
      </c>
      <c r="J46" t="s">
        <v>2450</v>
      </c>
      <c r="K46" t="s">
        <v>2569</v>
      </c>
      <c r="M46" t="s">
        <v>2618</v>
      </c>
    </row>
    <row r="47" spans="1:14">
      <c r="A47" s="1">
        <f>HYPERLINK("https://lsnyc.legalserver.org/matter/dynamic-profile/view/1913741","19-1913741")</f>
        <v>0</v>
      </c>
      <c r="B47" t="s">
        <v>14</v>
      </c>
      <c r="C47" t="s">
        <v>26</v>
      </c>
      <c r="D47" t="s">
        <v>126</v>
      </c>
      <c r="E47" t="s">
        <v>2376</v>
      </c>
      <c r="J47" t="s">
        <v>2450</v>
      </c>
      <c r="K47" t="s">
        <v>2569</v>
      </c>
      <c r="M47" t="s">
        <v>2618</v>
      </c>
    </row>
    <row r="48" spans="1:14">
      <c r="A48" s="1">
        <f>HYPERLINK("https://lsnyc.legalserver.org/matter/dynamic-profile/view/1913748","19-1913748")</f>
        <v>0</v>
      </c>
      <c r="B48" t="s">
        <v>14</v>
      </c>
      <c r="C48" t="s">
        <v>26</v>
      </c>
      <c r="D48" t="s">
        <v>127</v>
      </c>
      <c r="E48" t="s">
        <v>2376</v>
      </c>
      <c r="J48" t="s">
        <v>2450</v>
      </c>
      <c r="K48" t="s">
        <v>2569</v>
      </c>
      <c r="M48" t="s">
        <v>2618</v>
      </c>
    </row>
    <row r="49" spans="1:14">
      <c r="A49" s="1">
        <f>HYPERLINK("https://lsnyc.legalserver.org/matter/dynamic-profile/view/1913751","19-1913751")</f>
        <v>0</v>
      </c>
      <c r="B49" t="s">
        <v>14</v>
      </c>
      <c r="C49" t="s">
        <v>26</v>
      </c>
      <c r="D49" t="s">
        <v>128</v>
      </c>
      <c r="E49" t="s">
        <v>2374</v>
      </c>
      <c r="J49" t="s">
        <v>2462</v>
      </c>
      <c r="K49" t="s">
        <v>2572</v>
      </c>
      <c r="M49" t="s">
        <v>2616</v>
      </c>
    </row>
    <row r="50" spans="1:14">
      <c r="A50" s="1">
        <f>HYPERLINK("https://lsnyc.legalserver.org/matter/dynamic-profile/view/1913557","19-1913557")</f>
        <v>0</v>
      </c>
      <c r="B50" t="s">
        <v>19</v>
      </c>
      <c r="C50" t="s">
        <v>38</v>
      </c>
      <c r="D50" t="s">
        <v>129</v>
      </c>
      <c r="E50" t="s">
        <v>2386</v>
      </c>
      <c r="F50" t="s">
        <v>2437</v>
      </c>
      <c r="H50" t="s">
        <v>2445</v>
      </c>
      <c r="J50" t="s">
        <v>2463</v>
      </c>
      <c r="K50" t="s">
        <v>2575</v>
      </c>
      <c r="M50" t="s">
        <v>2627</v>
      </c>
      <c r="N50" t="s">
        <v>2648</v>
      </c>
    </row>
    <row r="51" spans="1:14">
      <c r="A51" s="1">
        <f>HYPERLINK("https://lsnyc.legalserver.org/matter/dynamic-profile/view/1913176","19-1913176")</f>
        <v>0</v>
      </c>
      <c r="B51" t="s">
        <v>16</v>
      </c>
      <c r="C51" t="s">
        <v>23</v>
      </c>
      <c r="D51" t="s">
        <v>130</v>
      </c>
      <c r="E51" t="s">
        <v>2387</v>
      </c>
      <c r="F51" t="s">
        <v>2436</v>
      </c>
      <c r="J51" t="s">
        <v>2450</v>
      </c>
      <c r="K51" t="s">
        <v>2569</v>
      </c>
      <c r="M51" t="s">
        <v>2436</v>
      </c>
      <c r="N51" t="s">
        <v>2649</v>
      </c>
    </row>
    <row r="52" spans="1:14">
      <c r="A52" s="1">
        <f>HYPERLINK("https://lsnyc.legalserver.org/matter/dynamic-profile/view/1913461","19-1913461")</f>
        <v>0</v>
      </c>
      <c r="B52" t="s">
        <v>14</v>
      </c>
      <c r="C52" t="s">
        <v>20</v>
      </c>
      <c r="D52" t="s">
        <v>131</v>
      </c>
      <c r="E52" t="s">
        <v>2388</v>
      </c>
      <c r="G52" t="s">
        <v>2444</v>
      </c>
      <c r="K52" t="s">
        <v>2569</v>
      </c>
      <c r="M52" t="s">
        <v>2628</v>
      </c>
    </row>
    <row r="53" spans="1:14">
      <c r="A53" s="1">
        <f>HYPERLINK("https://lsnyc.legalserver.org/matter/dynamic-profile/view/1913472","19-1913472")</f>
        <v>0</v>
      </c>
      <c r="B53" t="s">
        <v>16</v>
      </c>
      <c r="C53" t="s">
        <v>24</v>
      </c>
      <c r="D53" t="s">
        <v>132</v>
      </c>
      <c r="F53" t="s">
        <v>2436</v>
      </c>
      <c r="J53" t="s">
        <v>2448</v>
      </c>
      <c r="K53" t="s">
        <v>2569</v>
      </c>
      <c r="M53" t="s">
        <v>2436</v>
      </c>
      <c r="N53" t="s">
        <v>2648</v>
      </c>
    </row>
    <row r="54" spans="1:14">
      <c r="A54" s="1">
        <f>HYPERLINK("https://lsnyc.legalserver.org/matter/dynamic-profile/view/1913523","19-1913523")</f>
        <v>0</v>
      </c>
      <c r="B54" t="s">
        <v>15</v>
      </c>
      <c r="C54" t="s">
        <v>39</v>
      </c>
      <c r="D54" t="s">
        <v>133</v>
      </c>
      <c r="E54" t="s">
        <v>2374</v>
      </c>
      <c r="G54" t="s">
        <v>2444</v>
      </c>
      <c r="J54" t="s">
        <v>2455</v>
      </c>
      <c r="K54" t="s">
        <v>2569</v>
      </c>
      <c r="M54" t="s">
        <v>2616</v>
      </c>
    </row>
    <row r="55" spans="1:14">
      <c r="A55" s="1">
        <f>HYPERLINK("https://lsnyc.legalserver.org/matter/dynamic-profile/view/1913656","19-1913656")</f>
        <v>0</v>
      </c>
      <c r="B55" t="s">
        <v>15</v>
      </c>
      <c r="C55" t="s">
        <v>22</v>
      </c>
      <c r="D55" t="s">
        <v>134</v>
      </c>
      <c r="E55" t="s">
        <v>2384</v>
      </c>
      <c r="G55" t="s">
        <v>2444</v>
      </c>
      <c r="J55" t="s">
        <v>2452</v>
      </c>
      <c r="K55" t="s">
        <v>2572</v>
      </c>
      <c r="M55" t="s">
        <v>2625</v>
      </c>
    </row>
    <row r="56" spans="1:14">
      <c r="A56" s="1">
        <f>HYPERLINK("https://lsnyc.legalserver.org/matter/dynamic-profile/view/1913714","19-1913714")</f>
        <v>0</v>
      </c>
      <c r="B56" t="s">
        <v>17</v>
      </c>
      <c r="C56" t="s">
        <v>25</v>
      </c>
      <c r="D56" t="s">
        <v>135</v>
      </c>
      <c r="G56" t="s">
        <v>2444</v>
      </c>
      <c r="K56" t="s">
        <v>2569</v>
      </c>
      <c r="M56" t="s">
        <v>2614</v>
      </c>
    </row>
    <row r="57" spans="1:14">
      <c r="A57" s="1">
        <f>HYPERLINK("https://lsnyc.legalserver.org/matter/dynamic-profile/view/1913719","19-1913719")</f>
        <v>0</v>
      </c>
      <c r="B57" t="s">
        <v>17</v>
      </c>
      <c r="C57" t="s">
        <v>25</v>
      </c>
      <c r="D57" t="s">
        <v>136</v>
      </c>
      <c r="G57" t="s">
        <v>2444</v>
      </c>
      <c r="K57" t="s">
        <v>2569</v>
      </c>
      <c r="M57" t="s">
        <v>2614</v>
      </c>
    </row>
    <row r="58" spans="1:14">
      <c r="A58" s="1">
        <f>HYPERLINK("https://lsnyc.legalserver.org/matter/dynamic-profile/view/1913720","19-1913720")</f>
        <v>0</v>
      </c>
      <c r="B58" t="s">
        <v>17</v>
      </c>
      <c r="C58" t="s">
        <v>25</v>
      </c>
      <c r="D58" t="s">
        <v>137</v>
      </c>
      <c r="G58" t="s">
        <v>2444</v>
      </c>
      <c r="K58" t="s">
        <v>2571</v>
      </c>
      <c r="M58" t="s">
        <v>2614</v>
      </c>
    </row>
    <row r="59" spans="1:14">
      <c r="A59" s="1">
        <f>HYPERLINK("https://lsnyc.legalserver.org/matter/dynamic-profile/view/1913428","19-1913428")</f>
        <v>0</v>
      </c>
      <c r="B59" t="s">
        <v>15</v>
      </c>
      <c r="C59" t="s">
        <v>22</v>
      </c>
      <c r="D59" t="s">
        <v>138</v>
      </c>
      <c r="E59" t="s">
        <v>2389</v>
      </c>
      <c r="J59" t="s">
        <v>2457</v>
      </c>
      <c r="K59" t="s">
        <v>2569</v>
      </c>
      <c r="M59" t="s">
        <v>2614</v>
      </c>
    </row>
    <row r="60" spans="1:14">
      <c r="A60" s="1">
        <f>HYPERLINK("https://lsnyc.legalserver.org/matter/dynamic-profile/view/1913236","19-1913236")</f>
        <v>0</v>
      </c>
      <c r="B60" t="s">
        <v>16</v>
      </c>
      <c r="C60" t="s">
        <v>24</v>
      </c>
      <c r="D60" t="s">
        <v>139</v>
      </c>
      <c r="F60" t="s">
        <v>2436</v>
      </c>
      <c r="J60" t="s">
        <v>2454</v>
      </c>
      <c r="K60" t="s">
        <v>2572</v>
      </c>
      <c r="M60" t="s">
        <v>2436</v>
      </c>
      <c r="N60" t="s">
        <v>2648</v>
      </c>
    </row>
    <row r="61" spans="1:14">
      <c r="A61" s="1">
        <f>HYPERLINK("https://lsnyc.legalserver.org/matter/dynamic-profile/view/1913278","19-1913278")</f>
        <v>0</v>
      </c>
      <c r="B61" t="s">
        <v>15</v>
      </c>
      <c r="C61" t="s">
        <v>22</v>
      </c>
      <c r="D61" t="s">
        <v>87</v>
      </c>
      <c r="E61" t="s">
        <v>2374</v>
      </c>
      <c r="J61" t="s">
        <v>2460</v>
      </c>
      <c r="K61" t="s">
        <v>2572</v>
      </c>
      <c r="M61" t="s">
        <v>2616</v>
      </c>
    </row>
    <row r="62" spans="1:14">
      <c r="A62" s="1">
        <f>HYPERLINK("https://lsnyc.legalserver.org/matter/dynamic-profile/view/1913522","19-1913522")</f>
        <v>0</v>
      </c>
      <c r="B62" t="s">
        <v>15</v>
      </c>
      <c r="C62" t="s">
        <v>39</v>
      </c>
      <c r="D62" t="s">
        <v>140</v>
      </c>
      <c r="E62" t="s">
        <v>2385</v>
      </c>
      <c r="G62" t="s">
        <v>2444</v>
      </c>
      <c r="J62" t="s">
        <v>2455</v>
      </c>
      <c r="K62" t="s">
        <v>2569</v>
      </c>
      <c r="M62" t="s">
        <v>2616</v>
      </c>
    </row>
    <row r="63" spans="1:14">
      <c r="A63" s="1">
        <f>HYPERLINK("https://lsnyc.legalserver.org/matter/dynamic-profile/view/1913871","19-1913871")</f>
        <v>0</v>
      </c>
      <c r="B63" t="s">
        <v>19</v>
      </c>
      <c r="C63" t="s">
        <v>38</v>
      </c>
      <c r="D63" t="s">
        <v>141</v>
      </c>
      <c r="E63" t="s">
        <v>2390</v>
      </c>
      <c r="F63" t="s">
        <v>2437</v>
      </c>
      <c r="J63" t="s">
        <v>2457</v>
      </c>
      <c r="M63" t="s">
        <v>2619</v>
      </c>
      <c r="N63" t="s">
        <v>2648</v>
      </c>
    </row>
    <row r="64" spans="1:14">
      <c r="A64" s="1">
        <f>HYPERLINK("https://lsnyc.legalserver.org/matter/dynamic-profile/view/1913191","19-1913191")</f>
        <v>0</v>
      </c>
      <c r="B64" t="s">
        <v>15</v>
      </c>
      <c r="C64" t="s">
        <v>22</v>
      </c>
      <c r="D64" t="s">
        <v>142</v>
      </c>
      <c r="E64" t="s">
        <v>2387</v>
      </c>
      <c r="J64" t="s">
        <v>2457</v>
      </c>
      <c r="K64" t="s">
        <v>2569</v>
      </c>
      <c r="M64" t="s">
        <v>2629</v>
      </c>
      <c r="N64" t="s">
        <v>2648</v>
      </c>
    </row>
    <row r="65" spans="1:14">
      <c r="A65" s="1">
        <f>HYPERLINK("https://lsnyc.legalserver.org/matter/dynamic-profile/view/1913194","19-1913194")</f>
        <v>0</v>
      </c>
      <c r="B65" t="s">
        <v>15</v>
      </c>
      <c r="C65" t="s">
        <v>22</v>
      </c>
      <c r="D65" t="s">
        <v>138</v>
      </c>
      <c r="E65" t="s">
        <v>2391</v>
      </c>
      <c r="K65" t="s">
        <v>2569</v>
      </c>
      <c r="M65" t="s">
        <v>2615</v>
      </c>
    </row>
    <row r="66" spans="1:14">
      <c r="A66" s="1">
        <f>HYPERLINK("https://lsnyc.legalserver.org/matter/dynamic-profile/view/1914771","19-1914771")</f>
        <v>0</v>
      </c>
      <c r="B66" t="s">
        <v>15</v>
      </c>
      <c r="C66" t="s">
        <v>29</v>
      </c>
      <c r="D66" t="s">
        <v>143</v>
      </c>
      <c r="E66" t="s">
        <v>2392</v>
      </c>
      <c r="G66" t="s">
        <v>2444</v>
      </c>
      <c r="J66" t="s">
        <v>2457</v>
      </c>
      <c r="K66" t="s">
        <v>2569</v>
      </c>
      <c r="M66" t="s">
        <v>2630</v>
      </c>
    </row>
    <row r="67" spans="1:14">
      <c r="A67" s="1">
        <f>HYPERLINK("https://lsnyc.legalserver.org/matter/dynamic-profile/view/1913017","19-1913017")</f>
        <v>0</v>
      </c>
      <c r="B67" t="s">
        <v>18</v>
      </c>
      <c r="C67" t="s">
        <v>34</v>
      </c>
      <c r="D67" t="s">
        <v>144</v>
      </c>
      <c r="E67" t="s">
        <v>2393</v>
      </c>
      <c r="J67" t="s">
        <v>2448</v>
      </c>
      <c r="K67" t="s">
        <v>2569</v>
      </c>
      <c r="L67" t="s">
        <v>2601</v>
      </c>
      <c r="M67" t="s">
        <v>2631</v>
      </c>
    </row>
    <row r="68" spans="1:14">
      <c r="A68" s="1">
        <f>HYPERLINK("https://lsnyc.legalserver.org/matter/dynamic-profile/view/1913010","19-1913010")</f>
        <v>0</v>
      </c>
      <c r="B68" t="s">
        <v>14</v>
      </c>
      <c r="C68" t="s">
        <v>21</v>
      </c>
      <c r="D68" t="s">
        <v>145</v>
      </c>
      <c r="E68" t="s">
        <v>2375</v>
      </c>
      <c r="G68" t="s">
        <v>2444</v>
      </c>
      <c r="K68" t="s">
        <v>2572</v>
      </c>
      <c r="M68" t="s">
        <v>2617</v>
      </c>
    </row>
    <row r="69" spans="1:14">
      <c r="A69" s="1">
        <f>HYPERLINK("https://lsnyc.legalserver.org/matter/dynamic-profile/view/1912912","19-1912912")</f>
        <v>0</v>
      </c>
      <c r="B69" t="s">
        <v>18</v>
      </c>
      <c r="C69" t="s">
        <v>40</v>
      </c>
      <c r="D69" t="s">
        <v>146</v>
      </c>
      <c r="G69" t="s">
        <v>2444</v>
      </c>
      <c r="J69" t="s">
        <v>2450</v>
      </c>
      <c r="K69" t="s">
        <v>2569</v>
      </c>
      <c r="M69" t="s">
        <v>2614</v>
      </c>
    </row>
    <row r="70" spans="1:14">
      <c r="A70" s="1">
        <f>HYPERLINK("https://lsnyc.legalserver.org/matter/dynamic-profile/view/1913098","19-1913098")</f>
        <v>0</v>
      </c>
      <c r="B70" t="s">
        <v>17</v>
      </c>
      <c r="C70" t="s">
        <v>25</v>
      </c>
      <c r="D70" t="s">
        <v>147</v>
      </c>
      <c r="G70" t="s">
        <v>2444</v>
      </c>
      <c r="H70" t="s">
        <v>2445</v>
      </c>
      <c r="K70" t="s">
        <v>2572</v>
      </c>
      <c r="M70" t="s">
        <v>2614</v>
      </c>
    </row>
    <row r="71" spans="1:14">
      <c r="A71" s="1">
        <f>HYPERLINK("https://lsnyc.legalserver.org/matter/dynamic-profile/view/1913101","19-1913101")</f>
        <v>0</v>
      </c>
      <c r="B71" t="s">
        <v>17</v>
      </c>
      <c r="C71" t="s">
        <v>25</v>
      </c>
      <c r="D71" t="s">
        <v>148</v>
      </c>
      <c r="G71" t="s">
        <v>2444</v>
      </c>
      <c r="K71" t="s">
        <v>2569</v>
      </c>
      <c r="M71" t="s">
        <v>2614</v>
      </c>
    </row>
    <row r="72" spans="1:14">
      <c r="A72" s="1">
        <f>HYPERLINK("https://lsnyc.legalserver.org/matter/dynamic-profile/view/1912801","19-1912801")</f>
        <v>0</v>
      </c>
      <c r="B72" t="s">
        <v>16</v>
      </c>
      <c r="C72" t="s">
        <v>41</v>
      </c>
      <c r="D72" t="s">
        <v>149</v>
      </c>
      <c r="F72" t="s">
        <v>2436</v>
      </c>
      <c r="J72" t="s">
        <v>2454</v>
      </c>
      <c r="K72" t="s">
        <v>2572</v>
      </c>
      <c r="M72" t="s">
        <v>2436</v>
      </c>
    </row>
    <row r="73" spans="1:14">
      <c r="A73" s="1">
        <f>HYPERLINK("https://lsnyc.legalserver.org/matter/dynamic-profile/view/1912805","19-1912805")</f>
        <v>0</v>
      </c>
      <c r="B73" t="s">
        <v>14</v>
      </c>
      <c r="C73" t="s">
        <v>26</v>
      </c>
      <c r="D73" t="s">
        <v>150</v>
      </c>
      <c r="E73" t="s">
        <v>2376</v>
      </c>
      <c r="G73" t="s">
        <v>2444</v>
      </c>
      <c r="J73" t="s">
        <v>2450</v>
      </c>
      <c r="K73" t="s">
        <v>2569</v>
      </c>
      <c r="M73" t="s">
        <v>2618</v>
      </c>
    </row>
    <row r="74" spans="1:14">
      <c r="A74" s="1">
        <f>HYPERLINK("https://lsnyc.legalserver.org/matter/dynamic-profile/view/1912663","19-1912663")</f>
        <v>0</v>
      </c>
      <c r="B74" t="s">
        <v>17</v>
      </c>
      <c r="C74" t="s">
        <v>36</v>
      </c>
      <c r="D74" t="s">
        <v>151</v>
      </c>
      <c r="G74" t="s">
        <v>2444</v>
      </c>
      <c r="J74" t="s">
        <v>2458</v>
      </c>
      <c r="K74" t="s">
        <v>2569</v>
      </c>
      <c r="M74" t="s">
        <v>2614</v>
      </c>
    </row>
    <row r="75" spans="1:14">
      <c r="A75" s="1">
        <f>HYPERLINK("https://lsnyc.legalserver.org/matter/dynamic-profile/view/1912678","19-1912678")</f>
        <v>0</v>
      </c>
      <c r="B75" t="s">
        <v>18</v>
      </c>
      <c r="C75" t="s">
        <v>34</v>
      </c>
      <c r="D75" t="s">
        <v>152</v>
      </c>
      <c r="E75" t="s">
        <v>2376</v>
      </c>
      <c r="F75" t="s">
        <v>2437</v>
      </c>
      <c r="J75" t="s">
        <v>2448</v>
      </c>
      <c r="K75" t="s">
        <v>2569</v>
      </c>
      <c r="M75" t="s">
        <v>2618</v>
      </c>
    </row>
    <row r="76" spans="1:14">
      <c r="A76" s="1">
        <f>HYPERLINK("https://lsnyc.legalserver.org/matter/dynamic-profile/view/1912687","19-1912687")</f>
        <v>0</v>
      </c>
      <c r="B76" t="s">
        <v>16</v>
      </c>
      <c r="C76" t="s">
        <v>24</v>
      </c>
      <c r="D76" t="s">
        <v>153</v>
      </c>
      <c r="F76" t="s">
        <v>2436</v>
      </c>
      <c r="J76" t="s">
        <v>2464</v>
      </c>
      <c r="K76" t="s">
        <v>2572</v>
      </c>
      <c r="M76" t="s">
        <v>2436</v>
      </c>
      <c r="N76" t="s">
        <v>2648</v>
      </c>
    </row>
    <row r="77" spans="1:14">
      <c r="A77" s="1">
        <f>HYPERLINK("https://lsnyc.legalserver.org/matter/dynamic-profile/view/1912720","19-1912720")</f>
        <v>0</v>
      </c>
      <c r="B77" t="s">
        <v>15</v>
      </c>
      <c r="C77" t="s">
        <v>29</v>
      </c>
      <c r="D77" t="s">
        <v>154</v>
      </c>
      <c r="E77" t="s">
        <v>2373</v>
      </c>
      <c r="G77" t="s">
        <v>2444</v>
      </c>
      <c r="K77" t="s">
        <v>2569</v>
      </c>
      <c r="M77" t="s">
        <v>2615</v>
      </c>
    </row>
    <row r="78" spans="1:14">
      <c r="A78" s="1">
        <f>HYPERLINK("https://lsnyc.legalserver.org/matter/dynamic-profile/view/1912723","19-1912723")</f>
        <v>0</v>
      </c>
      <c r="B78" t="s">
        <v>15</v>
      </c>
      <c r="C78" t="s">
        <v>29</v>
      </c>
      <c r="D78" t="s">
        <v>155</v>
      </c>
      <c r="E78" t="s">
        <v>2373</v>
      </c>
      <c r="G78" t="s">
        <v>2444</v>
      </c>
      <c r="K78" t="s">
        <v>2576</v>
      </c>
      <c r="M78" t="s">
        <v>2615</v>
      </c>
    </row>
    <row r="79" spans="1:14">
      <c r="A79" s="1">
        <f>HYPERLINK("https://lsnyc.legalserver.org/matter/dynamic-profile/view/1912746","19-1912746")</f>
        <v>0</v>
      </c>
      <c r="B79" t="s">
        <v>17</v>
      </c>
      <c r="C79" t="s">
        <v>42</v>
      </c>
      <c r="D79" t="s">
        <v>156</v>
      </c>
      <c r="E79" t="s">
        <v>2374</v>
      </c>
      <c r="F79" t="s">
        <v>2439</v>
      </c>
      <c r="J79" t="s">
        <v>2458</v>
      </c>
      <c r="K79" t="s">
        <v>2569</v>
      </c>
      <c r="M79" t="s">
        <v>2631</v>
      </c>
    </row>
    <row r="80" spans="1:14">
      <c r="A80" s="1">
        <f>HYPERLINK("https://lsnyc.legalserver.org/matter/dynamic-profile/view/1912750","19-1912750")</f>
        <v>0</v>
      </c>
      <c r="B80" t="s">
        <v>16</v>
      </c>
      <c r="C80" t="s">
        <v>41</v>
      </c>
      <c r="D80" t="s">
        <v>157</v>
      </c>
      <c r="F80" t="s">
        <v>2436</v>
      </c>
      <c r="J80" t="s">
        <v>2450</v>
      </c>
      <c r="K80" t="s">
        <v>2569</v>
      </c>
      <c r="M80" t="s">
        <v>2436</v>
      </c>
    </row>
    <row r="81" spans="1:14">
      <c r="A81" s="1">
        <f>HYPERLINK("https://lsnyc.legalserver.org/matter/dynamic-profile/view/1912752","19-1912752")</f>
        <v>0</v>
      </c>
      <c r="B81" t="s">
        <v>14</v>
      </c>
      <c r="C81" t="s">
        <v>20</v>
      </c>
      <c r="D81" t="s">
        <v>158</v>
      </c>
      <c r="E81" t="s">
        <v>2376</v>
      </c>
      <c r="F81" t="s">
        <v>2437</v>
      </c>
      <c r="G81" t="s">
        <v>2444</v>
      </c>
      <c r="J81" t="s">
        <v>2450</v>
      </c>
      <c r="K81" t="s">
        <v>2569</v>
      </c>
      <c r="M81" t="s">
        <v>2618</v>
      </c>
      <c r="N81" t="s">
        <v>2649</v>
      </c>
    </row>
    <row r="82" spans="1:14">
      <c r="A82" s="1">
        <f>HYPERLINK("https://lsnyc.legalserver.org/matter/dynamic-profile/view/1912761","19-1912761")</f>
        <v>0</v>
      </c>
      <c r="B82" t="s">
        <v>15</v>
      </c>
      <c r="C82" t="s">
        <v>39</v>
      </c>
      <c r="D82" t="s">
        <v>159</v>
      </c>
      <c r="E82" t="s">
        <v>2391</v>
      </c>
      <c r="G82" t="s">
        <v>2444</v>
      </c>
      <c r="J82" t="s">
        <v>2465</v>
      </c>
      <c r="K82" t="s">
        <v>2569</v>
      </c>
      <c r="M82" t="s">
        <v>2615</v>
      </c>
    </row>
    <row r="83" spans="1:14">
      <c r="A83" s="1">
        <f>HYPERLINK("https://lsnyc.legalserver.org/matter/dynamic-profile/view/1912388","19-1912388")</f>
        <v>0</v>
      </c>
      <c r="B83" t="s">
        <v>15</v>
      </c>
      <c r="C83" t="s">
        <v>32</v>
      </c>
      <c r="D83" t="s">
        <v>160</v>
      </c>
      <c r="E83" t="s">
        <v>2383</v>
      </c>
      <c r="F83" t="s">
        <v>2437</v>
      </c>
      <c r="J83" t="s">
        <v>2465</v>
      </c>
      <c r="K83" t="s">
        <v>2569</v>
      </c>
      <c r="M83" t="s">
        <v>2624</v>
      </c>
      <c r="N83" t="s">
        <v>2649</v>
      </c>
    </row>
    <row r="84" spans="1:14">
      <c r="A84" s="1">
        <f>HYPERLINK("https://lsnyc.legalserver.org/matter/dynamic-profile/view/1912408","19-1912408")</f>
        <v>0</v>
      </c>
      <c r="B84" t="s">
        <v>14</v>
      </c>
      <c r="C84" t="s">
        <v>43</v>
      </c>
      <c r="D84" t="s">
        <v>161</v>
      </c>
      <c r="E84" t="s">
        <v>2394</v>
      </c>
      <c r="G84" t="s">
        <v>2444</v>
      </c>
      <c r="J84" t="s">
        <v>2450</v>
      </c>
      <c r="K84" t="s">
        <v>2572</v>
      </c>
      <c r="M84" t="s">
        <v>2627</v>
      </c>
    </row>
    <row r="85" spans="1:14">
      <c r="A85" s="1">
        <f>HYPERLINK("https://lsnyc.legalserver.org/matter/dynamic-profile/view/1912447","19-1912447")</f>
        <v>0</v>
      </c>
      <c r="B85" t="s">
        <v>14</v>
      </c>
      <c r="C85" t="s">
        <v>44</v>
      </c>
      <c r="D85" t="s">
        <v>162</v>
      </c>
      <c r="E85" t="s">
        <v>2394</v>
      </c>
      <c r="G85" t="s">
        <v>2444</v>
      </c>
      <c r="J85" t="s">
        <v>2453</v>
      </c>
      <c r="K85" t="s">
        <v>2572</v>
      </c>
      <c r="M85" t="s">
        <v>2627</v>
      </c>
    </row>
    <row r="86" spans="1:14">
      <c r="A86" s="1">
        <f>HYPERLINK("https://lsnyc.legalserver.org/matter/dynamic-profile/view/1912507","19-1912507")</f>
        <v>0</v>
      </c>
      <c r="B86" t="s">
        <v>16</v>
      </c>
      <c r="C86" t="s">
        <v>23</v>
      </c>
      <c r="D86" t="s">
        <v>163</v>
      </c>
      <c r="E86" t="s">
        <v>2390</v>
      </c>
      <c r="F86" t="s">
        <v>2437</v>
      </c>
      <c r="J86" t="s">
        <v>2452</v>
      </c>
      <c r="K86" t="s">
        <v>2572</v>
      </c>
      <c r="M86" t="s">
        <v>2619</v>
      </c>
    </row>
    <row r="87" spans="1:14">
      <c r="A87" s="1">
        <f>HYPERLINK("https://lsnyc.legalserver.org/matter/dynamic-profile/view/1912833","19-1912833")</f>
        <v>0</v>
      </c>
      <c r="B87" t="s">
        <v>15</v>
      </c>
      <c r="C87" t="s">
        <v>30</v>
      </c>
      <c r="D87" t="s">
        <v>164</v>
      </c>
      <c r="E87" t="s">
        <v>2381</v>
      </c>
      <c r="F87" t="s">
        <v>2439</v>
      </c>
      <c r="J87" t="s">
        <v>2465</v>
      </c>
      <c r="K87" t="s">
        <v>2569</v>
      </c>
      <c r="M87" t="s">
        <v>2631</v>
      </c>
    </row>
    <row r="88" spans="1:14">
      <c r="A88" s="1">
        <f>HYPERLINK("https://lsnyc.legalserver.org/matter/dynamic-profile/view/1912265","19-1912265")</f>
        <v>0</v>
      </c>
      <c r="B88" t="s">
        <v>18</v>
      </c>
      <c r="C88" t="s">
        <v>45</v>
      </c>
      <c r="D88" t="s">
        <v>165</v>
      </c>
      <c r="E88" t="s">
        <v>2381</v>
      </c>
      <c r="G88" t="s">
        <v>2444</v>
      </c>
      <c r="J88" t="s">
        <v>2466</v>
      </c>
      <c r="K88" t="s">
        <v>2572</v>
      </c>
      <c r="M88" t="s">
        <v>2622</v>
      </c>
    </row>
    <row r="89" spans="1:14">
      <c r="A89" s="1">
        <f>HYPERLINK("https://lsnyc.legalserver.org/matter/dynamic-profile/view/1912305","19-1912305")</f>
        <v>0</v>
      </c>
      <c r="B89" t="s">
        <v>16</v>
      </c>
      <c r="C89" t="s">
        <v>24</v>
      </c>
      <c r="D89" t="s">
        <v>166</v>
      </c>
      <c r="F89" t="s">
        <v>2436</v>
      </c>
      <c r="J89" t="s">
        <v>2467</v>
      </c>
      <c r="K89" t="s">
        <v>2572</v>
      </c>
      <c r="M89" t="s">
        <v>2436</v>
      </c>
    </row>
    <row r="90" spans="1:14">
      <c r="A90" s="1">
        <f>HYPERLINK("https://lsnyc.legalserver.org/matter/dynamic-profile/view/1912367","19-1912367")</f>
        <v>0</v>
      </c>
      <c r="B90" t="s">
        <v>18</v>
      </c>
      <c r="C90" t="s">
        <v>34</v>
      </c>
      <c r="D90" t="s">
        <v>144</v>
      </c>
      <c r="E90" t="s">
        <v>2376</v>
      </c>
      <c r="F90" t="s">
        <v>2437</v>
      </c>
      <c r="J90" t="s">
        <v>2448</v>
      </c>
      <c r="K90" t="s">
        <v>2569</v>
      </c>
      <c r="L90" t="s">
        <v>2600</v>
      </c>
      <c r="M90" t="s">
        <v>2618</v>
      </c>
      <c r="N90" t="s">
        <v>2648</v>
      </c>
    </row>
    <row r="91" spans="1:14">
      <c r="A91" s="1">
        <f>HYPERLINK("https://lsnyc.legalserver.org/matter/dynamic-profile/view/1912569","19-1912569")</f>
        <v>0</v>
      </c>
      <c r="B91" t="s">
        <v>15</v>
      </c>
      <c r="C91" t="s">
        <v>30</v>
      </c>
      <c r="D91" t="s">
        <v>167</v>
      </c>
      <c r="E91" t="s">
        <v>2387</v>
      </c>
      <c r="G91" t="s">
        <v>2444</v>
      </c>
      <c r="K91" t="s">
        <v>2569</v>
      </c>
      <c r="M91" t="s">
        <v>2629</v>
      </c>
    </row>
    <row r="92" spans="1:14">
      <c r="A92" s="1">
        <f>HYPERLINK("https://lsnyc.legalserver.org/matter/dynamic-profile/view/1912577","19-1912577")</f>
        <v>0</v>
      </c>
      <c r="B92" t="s">
        <v>15</v>
      </c>
      <c r="C92" t="s">
        <v>30</v>
      </c>
      <c r="D92" t="s">
        <v>168</v>
      </c>
      <c r="E92" t="s">
        <v>2387</v>
      </c>
      <c r="G92" t="s">
        <v>2444</v>
      </c>
      <c r="J92" t="s">
        <v>2447</v>
      </c>
      <c r="K92" t="s">
        <v>2569</v>
      </c>
      <c r="M92" t="s">
        <v>2629</v>
      </c>
    </row>
    <row r="93" spans="1:14">
      <c r="A93" s="1">
        <f>HYPERLINK("https://lsnyc.legalserver.org/matter/dynamic-profile/view/1911909","19-1911909")</f>
        <v>0</v>
      </c>
      <c r="B93" t="s">
        <v>16</v>
      </c>
      <c r="C93" t="s">
        <v>41</v>
      </c>
      <c r="D93" t="s">
        <v>169</v>
      </c>
      <c r="E93" t="s">
        <v>2375</v>
      </c>
      <c r="F93" t="s">
        <v>2436</v>
      </c>
      <c r="J93" t="s">
        <v>2447</v>
      </c>
      <c r="K93" t="s">
        <v>2569</v>
      </c>
      <c r="M93" t="s">
        <v>2436</v>
      </c>
    </row>
    <row r="94" spans="1:14">
      <c r="A94" s="1">
        <f>HYPERLINK("https://lsnyc.legalserver.org/matter/dynamic-profile/view/1911910","19-1911910")</f>
        <v>0</v>
      </c>
      <c r="B94" t="s">
        <v>16</v>
      </c>
      <c r="C94" t="s">
        <v>24</v>
      </c>
      <c r="D94" t="s">
        <v>170</v>
      </c>
      <c r="E94" t="s">
        <v>2375</v>
      </c>
      <c r="F94" t="s">
        <v>2436</v>
      </c>
      <c r="J94" t="s">
        <v>2467</v>
      </c>
      <c r="K94" t="s">
        <v>2572</v>
      </c>
      <c r="M94" t="s">
        <v>2436</v>
      </c>
    </row>
    <row r="95" spans="1:14">
      <c r="A95" s="1">
        <f>HYPERLINK("https://lsnyc.legalserver.org/matter/dynamic-profile/view/1912189","19-1912189")</f>
        <v>0</v>
      </c>
      <c r="B95" t="s">
        <v>16</v>
      </c>
      <c r="C95" t="s">
        <v>41</v>
      </c>
      <c r="D95" t="s">
        <v>171</v>
      </c>
      <c r="F95" t="s">
        <v>2436</v>
      </c>
      <c r="J95" t="s">
        <v>2468</v>
      </c>
      <c r="K95" t="s">
        <v>2569</v>
      </c>
      <c r="M95" t="s">
        <v>2436</v>
      </c>
    </row>
    <row r="96" spans="1:14">
      <c r="A96" s="1">
        <f>HYPERLINK("https://lsnyc.legalserver.org/matter/dynamic-profile/view/1912232","19-1912232")</f>
        <v>0</v>
      </c>
      <c r="B96" t="s">
        <v>16</v>
      </c>
      <c r="C96" t="s">
        <v>46</v>
      </c>
      <c r="D96" t="s">
        <v>172</v>
      </c>
      <c r="E96" t="s">
        <v>2375</v>
      </c>
      <c r="F96" t="s">
        <v>2437</v>
      </c>
      <c r="J96" t="s">
        <v>2469</v>
      </c>
      <c r="K96" t="s">
        <v>2572</v>
      </c>
      <c r="M96" t="s">
        <v>2626</v>
      </c>
      <c r="N96" t="s">
        <v>2648</v>
      </c>
    </row>
    <row r="97" spans="1:14">
      <c r="A97" s="1">
        <f>HYPERLINK("https://lsnyc.legalserver.org/matter/dynamic-profile/view/1912245","19-1912245")</f>
        <v>0</v>
      </c>
      <c r="B97" t="s">
        <v>16</v>
      </c>
      <c r="C97" t="s">
        <v>24</v>
      </c>
      <c r="D97" t="s">
        <v>173</v>
      </c>
      <c r="F97" t="s">
        <v>2436</v>
      </c>
      <c r="J97" t="s">
        <v>2448</v>
      </c>
      <c r="K97" t="s">
        <v>2569</v>
      </c>
      <c r="M97" t="s">
        <v>2436</v>
      </c>
      <c r="N97" t="s">
        <v>2648</v>
      </c>
    </row>
    <row r="98" spans="1:14">
      <c r="A98" s="1">
        <f>HYPERLINK("https://lsnyc.legalserver.org/matter/dynamic-profile/view/1912281","19-1912281")</f>
        <v>0</v>
      </c>
      <c r="B98" t="s">
        <v>15</v>
      </c>
      <c r="C98" t="s">
        <v>37</v>
      </c>
      <c r="D98" t="s">
        <v>174</v>
      </c>
      <c r="E98" t="s">
        <v>2376</v>
      </c>
      <c r="F98" t="s">
        <v>2437</v>
      </c>
      <c r="J98" t="s">
        <v>2470</v>
      </c>
      <c r="K98" t="s">
        <v>2577</v>
      </c>
      <c r="M98" t="s">
        <v>2626</v>
      </c>
      <c r="N98" t="s">
        <v>2648</v>
      </c>
    </row>
    <row r="99" spans="1:14">
      <c r="A99" s="1">
        <f>HYPERLINK("https://lsnyc.legalserver.org/matter/dynamic-profile/view/1912055","19-1912055")</f>
        <v>0</v>
      </c>
      <c r="B99" t="s">
        <v>19</v>
      </c>
      <c r="C99" t="s">
        <v>47</v>
      </c>
      <c r="D99" t="s">
        <v>175</v>
      </c>
      <c r="E99" t="s">
        <v>2374</v>
      </c>
      <c r="G99" t="s">
        <v>2444</v>
      </c>
      <c r="J99" t="s">
        <v>2450</v>
      </c>
      <c r="M99" t="s">
        <v>2616</v>
      </c>
    </row>
    <row r="100" spans="1:14">
      <c r="A100" s="1">
        <f>HYPERLINK("https://lsnyc.legalserver.org/matter/dynamic-profile/view/1912061","19-1912061")</f>
        <v>0</v>
      </c>
      <c r="B100" t="s">
        <v>19</v>
      </c>
      <c r="C100" t="s">
        <v>47</v>
      </c>
      <c r="D100" t="s">
        <v>176</v>
      </c>
      <c r="E100" t="s">
        <v>2374</v>
      </c>
      <c r="G100" t="s">
        <v>2444</v>
      </c>
      <c r="J100" t="s">
        <v>2450</v>
      </c>
      <c r="K100" t="s">
        <v>2569</v>
      </c>
      <c r="M100" t="s">
        <v>2616</v>
      </c>
    </row>
    <row r="101" spans="1:14">
      <c r="A101" s="1">
        <f>HYPERLINK("https://lsnyc.legalserver.org/matter/dynamic-profile/view/1912087","19-1912087")</f>
        <v>0</v>
      </c>
      <c r="B101" t="s">
        <v>14</v>
      </c>
      <c r="C101" t="s">
        <v>21</v>
      </c>
      <c r="D101" t="s">
        <v>177</v>
      </c>
      <c r="E101" t="s">
        <v>2376</v>
      </c>
      <c r="G101" t="s">
        <v>2444</v>
      </c>
      <c r="K101" t="s">
        <v>2569</v>
      </c>
      <c r="M101" t="s">
        <v>2618</v>
      </c>
    </row>
    <row r="102" spans="1:14">
      <c r="A102" s="1">
        <f>HYPERLINK("https://lsnyc.legalserver.org/matter/dynamic-profile/view/1912396","19-1912396")</f>
        <v>0</v>
      </c>
      <c r="B102" t="s">
        <v>17</v>
      </c>
      <c r="C102" t="s">
        <v>42</v>
      </c>
      <c r="D102" t="s">
        <v>178</v>
      </c>
      <c r="E102" t="s">
        <v>2376</v>
      </c>
      <c r="G102" t="s">
        <v>2444</v>
      </c>
      <c r="J102" t="s">
        <v>2471</v>
      </c>
      <c r="K102" t="s">
        <v>2571</v>
      </c>
      <c r="M102" t="s">
        <v>2618</v>
      </c>
    </row>
    <row r="103" spans="1:14">
      <c r="A103" s="1">
        <f>HYPERLINK("https://lsnyc.legalserver.org/matter/dynamic-profile/view/1912400","19-1912400")</f>
        <v>0</v>
      </c>
      <c r="B103" t="s">
        <v>17</v>
      </c>
      <c r="C103" t="s">
        <v>42</v>
      </c>
      <c r="D103" t="s">
        <v>179</v>
      </c>
      <c r="G103" t="s">
        <v>2444</v>
      </c>
      <c r="K103" t="s">
        <v>2571</v>
      </c>
      <c r="M103" t="s">
        <v>2614</v>
      </c>
    </row>
    <row r="104" spans="1:14">
      <c r="A104" s="1">
        <f>HYPERLINK("https://lsnyc.legalserver.org/matter/dynamic-profile/view/1912407","19-1912407")</f>
        <v>0</v>
      </c>
      <c r="B104" t="s">
        <v>17</v>
      </c>
      <c r="C104" t="s">
        <v>42</v>
      </c>
      <c r="D104" t="s">
        <v>180</v>
      </c>
      <c r="G104" t="s">
        <v>2444</v>
      </c>
      <c r="K104" t="s">
        <v>2571</v>
      </c>
      <c r="M104" t="s">
        <v>2614</v>
      </c>
    </row>
    <row r="105" spans="1:14">
      <c r="A105" s="1">
        <f>HYPERLINK("https://lsnyc.legalserver.org/matter/dynamic-profile/view/1912411","19-1912411")</f>
        <v>0</v>
      </c>
      <c r="B105" t="s">
        <v>17</v>
      </c>
      <c r="C105" t="s">
        <v>42</v>
      </c>
      <c r="D105" t="s">
        <v>181</v>
      </c>
      <c r="G105" t="s">
        <v>2444</v>
      </c>
      <c r="K105" t="s">
        <v>2571</v>
      </c>
      <c r="M105" t="s">
        <v>2614</v>
      </c>
    </row>
    <row r="106" spans="1:14">
      <c r="A106" s="1">
        <f>HYPERLINK("https://lsnyc.legalserver.org/matter/dynamic-profile/view/1912413","19-1912413")</f>
        <v>0</v>
      </c>
      <c r="B106" t="s">
        <v>17</v>
      </c>
      <c r="C106" t="s">
        <v>42</v>
      </c>
      <c r="D106" t="s">
        <v>182</v>
      </c>
      <c r="G106" t="s">
        <v>2444</v>
      </c>
      <c r="K106" t="s">
        <v>2571</v>
      </c>
      <c r="M106" t="s">
        <v>2614</v>
      </c>
    </row>
    <row r="107" spans="1:14">
      <c r="A107" s="1">
        <f>HYPERLINK("https://lsnyc.legalserver.org/matter/dynamic-profile/view/1912417","19-1912417")</f>
        <v>0</v>
      </c>
      <c r="B107" t="s">
        <v>17</v>
      </c>
      <c r="C107" t="s">
        <v>42</v>
      </c>
      <c r="D107" t="s">
        <v>183</v>
      </c>
      <c r="E107" t="s">
        <v>2376</v>
      </c>
      <c r="G107" t="s">
        <v>2444</v>
      </c>
      <c r="J107" t="s">
        <v>2457</v>
      </c>
      <c r="K107" t="s">
        <v>2569</v>
      </c>
      <c r="M107" t="s">
        <v>2618</v>
      </c>
    </row>
    <row r="108" spans="1:14">
      <c r="A108" s="1">
        <f>HYPERLINK("https://lsnyc.legalserver.org/matter/dynamic-profile/view/1912420","19-1912420")</f>
        <v>0</v>
      </c>
      <c r="B108" t="s">
        <v>17</v>
      </c>
      <c r="C108" t="s">
        <v>42</v>
      </c>
      <c r="D108" t="s">
        <v>184</v>
      </c>
      <c r="E108" t="s">
        <v>2374</v>
      </c>
      <c r="G108" t="s">
        <v>2444</v>
      </c>
      <c r="J108" t="s">
        <v>2457</v>
      </c>
      <c r="K108" t="s">
        <v>2569</v>
      </c>
      <c r="M108" t="s">
        <v>2616</v>
      </c>
    </row>
    <row r="109" spans="1:14">
      <c r="A109" s="1">
        <f>HYPERLINK("https://lsnyc.legalserver.org/matter/dynamic-profile/view/1911961","19-1911961")</f>
        <v>0</v>
      </c>
      <c r="B109" t="s">
        <v>16</v>
      </c>
      <c r="C109" t="s">
        <v>24</v>
      </c>
      <c r="D109" t="s">
        <v>185</v>
      </c>
      <c r="F109" t="s">
        <v>2436</v>
      </c>
      <c r="J109" t="s">
        <v>2452</v>
      </c>
      <c r="K109" t="s">
        <v>2572</v>
      </c>
      <c r="M109" t="s">
        <v>2436</v>
      </c>
    </row>
    <row r="110" spans="1:14">
      <c r="A110" s="1">
        <f>HYPERLINK("https://lsnyc.legalserver.org/matter/dynamic-profile/view/1911990","19-1911990")</f>
        <v>0</v>
      </c>
      <c r="B110" t="s">
        <v>18</v>
      </c>
      <c r="C110" t="s">
        <v>27</v>
      </c>
      <c r="D110" t="s">
        <v>186</v>
      </c>
      <c r="E110" t="s">
        <v>2395</v>
      </c>
      <c r="G110" t="s">
        <v>2444</v>
      </c>
      <c r="J110" t="s">
        <v>2472</v>
      </c>
      <c r="K110" t="s">
        <v>2578</v>
      </c>
      <c r="M110" t="s">
        <v>2632</v>
      </c>
    </row>
    <row r="111" spans="1:14">
      <c r="A111" s="1">
        <f>HYPERLINK("https://lsnyc.legalserver.org/matter/dynamic-profile/view/1911906","19-1911906")</f>
        <v>0</v>
      </c>
      <c r="B111" t="s">
        <v>19</v>
      </c>
      <c r="C111" t="s">
        <v>48</v>
      </c>
      <c r="D111" t="s">
        <v>187</v>
      </c>
      <c r="E111" t="s">
        <v>2373</v>
      </c>
      <c r="G111" t="s">
        <v>2444</v>
      </c>
      <c r="K111" t="s">
        <v>2569</v>
      </c>
      <c r="M111" t="s">
        <v>2615</v>
      </c>
    </row>
    <row r="112" spans="1:14">
      <c r="A112" s="1">
        <f>HYPERLINK("https://lsnyc.legalserver.org/matter/dynamic-profile/view/1911907","19-1911907")</f>
        <v>0</v>
      </c>
      <c r="B112" t="s">
        <v>19</v>
      </c>
      <c r="C112" t="s">
        <v>48</v>
      </c>
      <c r="D112" t="s">
        <v>188</v>
      </c>
      <c r="E112" t="s">
        <v>2373</v>
      </c>
      <c r="G112" t="s">
        <v>2444</v>
      </c>
      <c r="K112" t="s">
        <v>2569</v>
      </c>
      <c r="M112" t="s">
        <v>2615</v>
      </c>
    </row>
    <row r="113" spans="1:14">
      <c r="A113" s="1">
        <f>HYPERLINK("https://lsnyc.legalserver.org/matter/dynamic-profile/view/1911816","19-1911816")</f>
        <v>0</v>
      </c>
      <c r="B113" t="s">
        <v>14</v>
      </c>
      <c r="C113" t="s">
        <v>26</v>
      </c>
      <c r="D113" t="s">
        <v>189</v>
      </c>
      <c r="E113" t="s">
        <v>2374</v>
      </c>
      <c r="J113" t="s">
        <v>2450</v>
      </c>
      <c r="K113" t="s">
        <v>2569</v>
      </c>
      <c r="M113" t="s">
        <v>2616</v>
      </c>
    </row>
    <row r="114" spans="1:14">
      <c r="A114" s="1">
        <f>HYPERLINK("https://lsnyc.legalserver.org/matter/dynamic-profile/view/1911835","19-1911835")</f>
        <v>0</v>
      </c>
      <c r="B114" t="s">
        <v>15</v>
      </c>
      <c r="C114" t="s">
        <v>49</v>
      </c>
      <c r="D114" t="s">
        <v>190</v>
      </c>
      <c r="E114" t="s">
        <v>2390</v>
      </c>
      <c r="G114" t="s">
        <v>2444</v>
      </c>
      <c r="K114" t="s">
        <v>2572</v>
      </c>
      <c r="M114" t="s">
        <v>2619</v>
      </c>
    </row>
    <row r="115" spans="1:14">
      <c r="A115" s="1">
        <f>HYPERLINK("https://lsnyc.legalserver.org/matter/dynamic-profile/view/1911836","19-1911836")</f>
        <v>0</v>
      </c>
      <c r="B115" t="s">
        <v>14</v>
      </c>
      <c r="C115" t="s">
        <v>26</v>
      </c>
      <c r="D115" t="s">
        <v>191</v>
      </c>
      <c r="E115" t="s">
        <v>2374</v>
      </c>
      <c r="J115" t="s">
        <v>2450</v>
      </c>
      <c r="K115" t="s">
        <v>2569</v>
      </c>
      <c r="M115" t="s">
        <v>2616</v>
      </c>
    </row>
    <row r="116" spans="1:14">
      <c r="A116" s="1">
        <f>HYPERLINK("https://lsnyc.legalserver.org/matter/dynamic-profile/view/1911903","19-1911903")</f>
        <v>0</v>
      </c>
      <c r="B116" t="s">
        <v>15</v>
      </c>
      <c r="C116" t="s">
        <v>22</v>
      </c>
      <c r="D116" t="s">
        <v>94</v>
      </c>
      <c r="E116" t="s">
        <v>2391</v>
      </c>
      <c r="J116" t="s">
        <v>2455</v>
      </c>
      <c r="K116" t="s">
        <v>2572</v>
      </c>
      <c r="M116" t="s">
        <v>2615</v>
      </c>
    </row>
    <row r="117" spans="1:14">
      <c r="A117" s="1">
        <f>HYPERLINK("https://lsnyc.legalserver.org/matter/dynamic-profile/view/1911904","19-1911904")</f>
        <v>0</v>
      </c>
      <c r="B117" t="s">
        <v>15</v>
      </c>
      <c r="C117" t="s">
        <v>22</v>
      </c>
      <c r="D117" t="s">
        <v>192</v>
      </c>
      <c r="E117" t="s">
        <v>2391</v>
      </c>
      <c r="G117" t="s">
        <v>2444</v>
      </c>
      <c r="J117" t="s">
        <v>2449</v>
      </c>
      <c r="K117" t="s">
        <v>2569</v>
      </c>
      <c r="M117" t="s">
        <v>2615</v>
      </c>
    </row>
    <row r="118" spans="1:14">
      <c r="A118" s="1">
        <f>HYPERLINK("https://lsnyc.legalserver.org/matter/dynamic-profile/view/1911912","19-1911912")</f>
        <v>0</v>
      </c>
      <c r="B118" t="s">
        <v>15</v>
      </c>
      <c r="C118" t="s">
        <v>32</v>
      </c>
      <c r="D118" t="s">
        <v>193</v>
      </c>
      <c r="E118" t="s">
        <v>2374</v>
      </c>
      <c r="F118" t="s">
        <v>2440</v>
      </c>
      <c r="J118" t="s">
        <v>2450</v>
      </c>
      <c r="K118" t="s">
        <v>2569</v>
      </c>
      <c r="L118" t="s">
        <v>2602</v>
      </c>
      <c r="M118" t="s">
        <v>2631</v>
      </c>
      <c r="N118" t="s">
        <v>2649</v>
      </c>
    </row>
    <row r="119" spans="1:14">
      <c r="A119" s="1">
        <f>HYPERLINK("https://lsnyc.legalserver.org/matter/dynamic-profile/view/1911951","19-1911951")</f>
        <v>0</v>
      </c>
      <c r="B119" t="s">
        <v>15</v>
      </c>
      <c r="C119" t="s">
        <v>32</v>
      </c>
      <c r="D119" t="s">
        <v>194</v>
      </c>
      <c r="E119" t="s">
        <v>2374</v>
      </c>
      <c r="F119" t="s">
        <v>2440</v>
      </c>
      <c r="J119" t="s">
        <v>2450</v>
      </c>
      <c r="K119" t="s">
        <v>2569</v>
      </c>
      <c r="L119" t="s">
        <v>2602</v>
      </c>
      <c r="M119" t="s">
        <v>2631</v>
      </c>
      <c r="N119" t="s">
        <v>2649</v>
      </c>
    </row>
    <row r="120" spans="1:14">
      <c r="A120" s="1">
        <f>HYPERLINK("https://lsnyc.legalserver.org/matter/dynamic-profile/view/1911712","19-1911712")</f>
        <v>0</v>
      </c>
      <c r="B120" t="s">
        <v>18</v>
      </c>
      <c r="C120" t="s">
        <v>35</v>
      </c>
      <c r="D120" t="s">
        <v>195</v>
      </c>
      <c r="E120" t="s">
        <v>2374</v>
      </c>
      <c r="F120" t="s">
        <v>2440</v>
      </c>
      <c r="J120" t="s">
        <v>2471</v>
      </c>
      <c r="K120" t="s">
        <v>2571</v>
      </c>
      <c r="L120" t="s">
        <v>2602</v>
      </c>
      <c r="M120" t="s">
        <v>2631</v>
      </c>
      <c r="N120" t="s">
        <v>2648</v>
      </c>
    </row>
    <row r="121" spans="1:14">
      <c r="A121" s="1">
        <f>HYPERLINK("https://lsnyc.legalserver.org/matter/dynamic-profile/view/1911776","19-1911776")</f>
        <v>0</v>
      </c>
      <c r="B121" t="s">
        <v>19</v>
      </c>
      <c r="C121" t="s">
        <v>47</v>
      </c>
      <c r="D121" t="s">
        <v>196</v>
      </c>
      <c r="F121" t="s">
        <v>2441</v>
      </c>
      <c r="J121" t="s">
        <v>2450</v>
      </c>
      <c r="K121" t="s">
        <v>2569</v>
      </c>
      <c r="L121" t="s">
        <v>2603</v>
      </c>
      <c r="M121" t="s">
        <v>2614</v>
      </c>
      <c r="N121" t="s">
        <v>2649</v>
      </c>
    </row>
    <row r="122" spans="1:14">
      <c r="A122" s="1">
        <f>HYPERLINK("https://lsnyc.legalserver.org/matter/dynamic-profile/view/1908871","19-1908871")</f>
        <v>0</v>
      </c>
      <c r="B122" t="s">
        <v>16</v>
      </c>
      <c r="C122" t="s">
        <v>46</v>
      </c>
      <c r="D122" t="s">
        <v>197</v>
      </c>
      <c r="E122" t="s">
        <v>2376</v>
      </c>
      <c r="G122" t="s">
        <v>2444</v>
      </c>
      <c r="M122" t="s">
        <v>2618</v>
      </c>
    </row>
    <row r="123" spans="1:14">
      <c r="A123" s="1">
        <f>HYPERLINK("https://lsnyc.legalserver.org/matter/dynamic-profile/view/1911669","19-1911669")</f>
        <v>0</v>
      </c>
      <c r="B123" t="s">
        <v>14</v>
      </c>
      <c r="C123" t="s">
        <v>26</v>
      </c>
      <c r="D123" t="s">
        <v>198</v>
      </c>
      <c r="E123" t="s">
        <v>2374</v>
      </c>
      <c r="J123" t="s">
        <v>2450</v>
      </c>
      <c r="K123" t="s">
        <v>2569</v>
      </c>
      <c r="M123" t="s">
        <v>2616</v>
      </c>
      <c r="N123" t="s">
        <v>2649</v>
      </c>
    </row>
    <row r="124" spans="1:14">
      <c r="A124" s="1">
        <f>HYPERLINK("https://lsnyc.legalserver.org/matter/dynamic-profile/view/1911705","19-1911705")</f>
        <v>0</v>
      </c>
      <c r="B124" t="s">
        <v>16</v>
      </c>
      <c r="C124" t="s">
        <v>46</v>
      </c>
      <c r="D124" t="s">
        <v>199</v>
      </c>
      <c r="E124" t="s">
        <v>2390</v>
      </c>
      <c r="F124" t="s">
        <v>2437</v>
      </c>
      <c r="J124" t="s">
        <v>2447</v>
      </c>
      <c r="K124" t="s">
        <v>2569</v>
      </c>
      <c r="M124" t="s">
        <v>2626</v>
      </c>
    </row>
    <row r="125" spans="1:14">
      <c r="A125" s="1">
        <f>HYPERLINK("https://lsnyc.legalserver.org/matter/dynamic-profile/view/1912788","19-1912788")</f>
        <v>0</v>
      </c>
      <c r="B125" t="s">
        <v>15</v>
      </c>
      <c r="C125" t="s">
        <v>32</v>
      </c>
      <c r="D125" t="s">
        <v>200</v>
      </c>
      <c r="E125" t="s">
        <v>2374</v>
      </c>
      <c r="F125" t="s">
        <v>2438</v>
      </c>
      <c r="J125" t="s">
        <v>2450</v>
      </c>
      <c r="K125" t="s">
        <v>2569</v>
      </c>
      <c r="M125" t="s">
        <v>2616</v>
      </c>
      <c r="N125" t="s">
        <v>2649</v>
      </c>
    </row>
    <row r="126" spans="1:14">
      <c r="A126" s="1">
        <f>HYPERLINK("https://lsnyc.legalserver.org/matter/dynamic-profile/view/1911589","19-1911589")</f>
        <v>0</v>
      </c>
      <c r="B126" t="s">
        <v>18</v>
      </c>
      <c r="C126" t="s">
        <v>40</v>
      </c>
      <c r="D126" t="s">
        <v>201</v>
      </c>
      <c r="G126" t="s">
        <v>2444</v>
      </c>
      <c r="J126" t="s">
        <v>2452</v>
      </c>
      <c r="K126" t="s">
        <v>2572</v>
      </c>
      <c r="M126" t="s">
        <v>2614</v>
      </c>
    </row>
    <row r="127" spans="1:14">
      <c r="A127" s="1">
        <f>HYPERLINK("https://lsnyc.legalserver.org/matter/dynamic-profile/view/1911618","19-1911618")</f>
        <v>0</v>
      </c>
      <c r="B127" t="s">
        <v>14</v>
      </c>
      <c r="C127" t="s">
        <v>21</v>
      </c>
      <c r="D127" t="s">
        <v>202</v>
      </c>
      <c r="E127" t="s">
        <v>2376</v>
      </c>
      <c r="G127" t="s">
        <v>2444</v>
      </c>
      <c r="K127" t="s">
        <v>2569</v>
      </c>
      <c r="M127" t="s">
        <v>2618</v>
      </c>
    </row>
    <row r="128" spans="1:14">
      <c r="A128" s="1">
        <f>HYPERLINK("https://lsnyc.legalserver.org/matter/dynamic-profile/view/1911622","19-1911622")</f>
        <v>0</v>
      </c>
      <c r="B128" t="s">
        <v>14</v>
      </c>
      <c r="C128" t="s">
        <v>21</v>
      </c>
      <c r="D128" t="s">
        <v>203</v>
      </c>
      <c r="E128" t="s">
        <v>2376</v>
      </c>
      <c r="G128" t="s">
        <v>2444</v>
      </c>
      <c r="H128" t="s">
        <v>2445</v>
      </c>
      <c r="K128" t="s">
        <v>2569</v>
      </c>
      <c r="M128" t="s">
        <v>2618</v>
      </c>
    </row>
    <row r="129" spans="1:14">
      <c r="A129" s="1">
        <f>HYPERLINK("https://lsnyc.legalserver.org/matter/dynamic-profile/view/1911645","19-1911645")</f>
        <v>0</v>
      </c>
      <c r="B129" t="s">
        <v>16</v>
      </c>
      <c r="C129" t="s">
        <v>23</v>
      </c>
      <c r="D129" t="s">
        <v>204</v>
      </c>
      <c r="G129" t="s">
        <v>2444</v>
      </c>
      <c r="J129" t="s">
        <v>2461</v>
      </c>
      <c r="K129" t="s">
        <v>2579</v>
      </c>
      <c r="M129" t="s">
        <v>2614</v>
      </c>
    </row>
    <row r="130" spans="1:14">
      <c r="A130" s="1">
        <f>HYPERLINK("https://lsnyc.legalserver.org/matter/dynamic-profile/view/1910012","19-1910012")</f>
        <v>0</v>
      </c>
      <c r="B130" t="s">
        <v>17</v>
      </c>
      <c r="C130" t="s">
        <v>25</v>
      </c>
      <c r="D130" t="s">
        <v>205</v>
      </c>
      <c r="G130" t="s">
        <v>2444</v>
      </c>
      <c r="K130" t="s">
        <v>2572</v>
      </c>
      <c r="M130" t="s">
        <v>2614</v>
      </c>
    </row>
    <row r="131" spans="1:14">
      <c r="A131" s="1">
        <f>HYPERLINK("https://lsnyc.legalserver.org/matter/dynamic-profile/view/1911537","19-1911537")</f>
        <v>0</v>
      </c>
      <c r="B131" t="s">
        <v>16</v>
      </c>
      <c r="C131" t="s">
        <v>41</v>
      </c>
      <c r="D131" t="s">
        <v>206</v>
      </c>
      <c r="F131" t="s">
        <v>2436</v>
      </c>
      <c r="J131" t="s">
        <v>2457</v>
      </c>
      <c r="K131" t="s">
        <v>2569</v>
      </c>
      <c r="M131" t="s">
        <v>2436</v>
      </c>
      <c r="N131" t="s">
        <v>2648</v>
      </c>
    </row>
    <row r="132" spans="1:14">
      <c r="A132" s="1">
        <f>HYPERLINK("https://lsnyc.legalserver.org/matter/dynamic-profile/view/1911552","19-1911552")</f>
        <v>0</v>
      </c>
      <c r="B132" t="s">
        <v>15</v>
      </c>
      <c r="C132" t="s">
        <v>22</v>
      </c>
      <c r="D132" t="s">
        <v>207</v>
      </c>
      <c r="E132" t="s">
        <v>2396</v>
      </c>
      <c r="K132" t="s">
        <v>2569</v>
      </c>
      <c r="M132" t="s">
        <v>2633</v>
      </c>
    </row>
    <row r="133" spans="1:14">
      <c r="A133" s="1">
        <f>HYPERLINK("https://lsnyc.legalserver.org/matter/dynamic-profile/view/1912387","19-1912387")</f>
        <v>0</v>
      </c>
      <c r="B133" t="s">
        <v>15</v>
      </c>
      <c r="C133" t="s">
        <v>32</v>
      </c>
      <c r="D133" t="s">
        <v>160</v>
      </c>
      <c r="E133" t="s">
        <v>2374</v>
      </c>
      <c r="F133" t="s">
        <v>2439</v>
      </c>
      <c r="J133" t="s">
        <v>2465</v>
      </c>
      <c r="K133" t="s">
        <v>2569</v>
      </c>
      <c r="M133" t="s">
        <v>2631</v>
      </c>
      <c r="N133" t="s">
        <v>2649</v>
      </c>
    </row>
    <row r="134" spans="1:14">
      <c r="A134" s="1">
        <f>HYPERLINK("https://lsnyc.legalserver.org/matter/dynamic-profile/view/1911347","19-1911347")</f>
        <v>0</v>
      </c>
      <c r="B134" t="s">
        <v>16</v>
      </c>
      <c r="C134" t="s">
        <v>46</v>
      </c>
      <c r="D134" t="s">
        <v>208</v>
      </c>
      <c r="F134" t="s">
        <v>2436</v>
      </c>
      <c r="J134" t="s">
        <v>2473</v>
      </c>
      <c r="K134" t="s">
        <v>2580</v>
      </c>
      <c r="M134" t="s">
        <v>2436</v>
      </c>
    </row>
    <row r="135" spans="1:14">
      <c r="A135" s="1">
        <f>HYPERLINK("https://lsnyc.legalserver.org/matter/dynamic-profile/view/1911417","19-1911417")</f>
        <v>0</v>
      </c>
      <c r="B135" t="s">
        <v>16</v>
      </c>
      <c r="C135" t="s">
        <v>41</v>
      </c>
      <c r="D135" t="s">
        <v>209</v>
      </c>
      <c r="F135" t="s">
        <v>2436</v>
      </c>
      <c r="J135" t="s">
        <v>2455</v>
      </c>
      <c r="K135" t="s">
        <v>2569</v>
      </c>
      <c r="M135" t="s">
        <v>2436</v>
      </c>
      <c r="N135" t="s">
        <v>2648</v>
      </c>
    </row>
    <row r="136" spans="1:14">
      <c r="A136" s="1">
        <f>HYPERLINK("https://lsnyc.legalserver.org/matter/dynamic-profile/view/1911252","19-1911252")</f>
        <v>0</v>
      </c>
      <c r="B136" t="s">
        <v>16</v>
      </c>
      <c r="C136" t="s">
        <v>24</v>
      </c>
      <c r="D136" t="s">
        <v>210</v>
      </c>
      <c r="F136" t="s">
        <v>2436</v>
      </c>
      <c r="J136" t="s">
        <v>2474</v>
      </c>
      <c r="K136" t="s">
        <v>2572</v>
      </c>
      <c r="M136" t="s">
        <v>2436</v>
      </c>
      <c r="N136" t="s">
        <v>2648</v>
      </c>
    </row>
    <row r="137" spans="1:14">
      <c r="A137" s="1">
        <f>HYPERLINK("https://lsnyc.legalserver.org/matter/dynamic-profile/view/1911254","19-1911254")</f>
        <v>0</v>
      </c>
      <c r="B137" t="s">
        <v>16</v>
      </c>
      <c r="C137" t="s">
        <v>24</v>
      </c>
      <c r="D137" t="s">
        <v>211</v>
      </c>
      <c r="F137" t="s">
        <v>2436</v>
      </c>
      <c r="J137" t="s">
        <v>2467</v>
      </c>
      <c r="K137" t="s">
        <v>2572</v>
      </c>
      <c r="M137" t="s">
        <v>2436</v>
      </c>
      <c r="N137" t="s">
        <v>2648</v>
      </c>
    </row>
    <row r="138" spans="1:14">
      <c r="A138" s="1">
        <f>HYPERLINK("https://lsnyc.legalserver.org/matter/dynamic-profile/view/1911277","19-1911277")</f>
        <v>0</v>
      </c>
      <c r="B138" t="s">
        <v>19</v>
      </c>
      <c r="C138" t="s">
        <v>24</v>
      </c>
      <c r="D138" t="s">
        <v>212</v>
      </c>
      <c r="F138" t="s">
        <v>2436</v>
      </c>
      <c r="J138" t="s">
        <v>2475</v>
      </c>
      <c r="K138" t="s">
        <v>2572</v>
      </c>
      <c r="M138" t="s">
        <v>2436</v>
      </c>
      <c r="N138" t="s">
        <v>2648</v>
      </c>
    </row>
    <row r="139" spans="1:14">
      <c r="A139" s="1">
        <f>HYPERLINK("https://lsnyc.legalserver.org/matter/dynamic-profile/view/1911294","19-1911294")</f>
        <v>0</v>
      </c>
      <c r="B139" t="s">
        <v>14</v>
      </c>
      <c r="C139" t="s">
        <v>26</v>
      </c>
      <c r="D139" t="s">
        <v>213</v>
      </c>
      <c r="E139" t="s">
        <v>2376</v>
      </c>
      <c r="J139" t="s">
        <v>2450</v>
      </c>
      <c r="K139" t="s">
        <v>2569</v>
      </c>
      <c r="M139" t="s">
        <v>2618</v>
      </c>
    </row>
    <row r="140" spans="1:14">
      <c r="A140" s="1">
        <f>HYPERLINK("https://lsnyc.legalserver.org/matter/dynamic-profile/view/1911301","19-1911301")</f>
        <v>0</v>
      </c>
      <c r="B140" t="s">
        <v>14</v>
      </c>
      <c r="C140" t="s">
        <v>26</v>
      </c>
      <c r="D140" t="s">
        <v>214</v>
      </c>
      <c r="E140" t="s">
        <v>2376</v>
      </c>
      <c r="J140" t="s">
        <v>2450</v>
      </c>
      <c r="K140" t="s">
        <v>2569</v>
      </c>
      <c r="M140" t="s">
        <v>2618</v>
      </c>
    </row>
    <row r="141" spans="1:14">
      <c r="A141" s="1">
        <f>HYPERLINK("https://lsnyc.legalserver.org/matter/dynamic-profile/view/1911210","19-1911210")</f>
        <v>0</v>
      </c>
      <c r="B141" t="s">
        <v>14</v>
      </c>
      <c r="C141" t="s">
        <v>20</v>
      </c>
      <c r="D141" t="s">
        <v>215</v>
      </c>
      <c r="E141" t="s">
        <v>2397</v>
      </c>
      <c r="F141" t="s">
        <v>2438</v>
      </c>
      <c r="J141" t="s">
        <v>2450</v>
      </c>
      <c r="K141" t="s">
        <v>2569</v>
      </c>
      <c r="L141" t="s">
        <v>2604</v>
      </c>
      <c r="M141" t="s">
        <v>2626</v>
      </c>
      <c r="N141" t="s">
        <v>2649</v>
      </c>
    </row>
    <row r="142" spans="1:14">
      <c r="A142" s="1">
        <f>HYPERLINK("https://lsnyc.legalserver.org/matter/dynamic-profile/view/1911139","19-1911139")</f>
        <v>0</v>
      </c>
      <c r="B142" t="s">
        <v>16</v>
      </c>
      <c r="C142" t="s">
        <v>24</v>
      </c>
      <c r="D142" t="s">
        <v>216</v>
      </c>
      <c r="F142" t="s">
        <v>2436</v>
      </c>
      <c r="J142" t="s">
        <v>2471</v>
      </c>
      <c r="K142" t="s">
        <v>2572</v>
      </c>
      <c r="M142" t="s">
        <v>2436</v>
      </c>
      <c r="N142" t="s">
        <v>2648</v>
      </c>
    </row>
    <row r="143" spans="1:14">
      <c r="A143" s="1">
        <f>HYPERLINK("https://lsnyc.legalserver.org/matter/dynamic-profile/view/1911076","19-1911076")</f>
        <v>0</v>
      </c>
      <c r="B143" t="s">
        <v>18</v>
      </c>
      <c r="C143" t="s">
        <v>27</v>
      </c>
      <c r="D143" t="s">
        <v>217</v>
      </c>
      <c r="E143" t="s">
        <v>2398</v>
      </c>
      <c r="F143" t="s">
        <v>2437</v>
      </c>
      <c r="J143" t="s">
        <v>2476</v>
      </c>
      <c r="K143" t="s">
        <v>2572</v>
      </c>
      <c r="L143" t="s">
        <v>2600</v>
      </c>
      <c r="M143" t="s">
        <v>2634</v>
      </c>
    </row>
    <row r="144" spans="1:14">
      <c r="A144" s="1">
        <f>HYPERLINK("https://lsnyc.legalserver.org/matter/dynamic-profile/view/1911033","19-1911033")</f>
        <v>0</v>
      </c>
      <c r="B144" t="s">
        <v>16</v>
      </c>
      <c r="C144" t="s">
        <v>24</v>
      </c>
      <c r="D144" t="s">
        <v>218</v>
      </c>
      <c r="F144" t="s">
        <v>2436</v>
      </c>
      <c r="K144" t="s">
        <v>2572</v>
      </c>
      <c r="M144" t="s">
        <v>2436</v>
      </c>
      <c r="N144" t="s">
        <v>2648</v>
      </c>
    </row>
    <row r="145" spans="1:14">
      <c r="A145" s="1">
        <f>HYPERLINK("https://lsnyc.legalserver.org/matter/dynamic-profile/view/1911042","19-1911042")</f>
        <v>0</v>
      </c>
      <c r="B145" t="s">
        <v>16</v>
      </c>
      <c r="C145" t="s">
        <v>24</v>
      </c>
      <c r="D145" t="s">
        <v>219</v>
      </c>
      <c r="F145" t="s">
        <v>2436</v>
      </c>
      <c r="J145" t="s">
        <v>2448</v>
      </c>
      <c r="K145" t="s">
        <v>2569</v>
      </c>
      <c r="M145" t="s">
        <v>2436</v>
      </c>
      <c r="N145" t="s">
        <v>2648</v>
      </c>
    </row>
    <row r="146" spans="1:14">
      <c r="A146" s="1">
        <f>HYPERLINK("https://lsnyc.legalserver.org/matter/dynamic-profile/view/1911069","19-1911069")</f>
        <v>0</v>
      </c>
      <c r="B146" t="s">
        <v>16</v>
      </c>
      <c r="C146" t="s">
        <v>24</v>
      </c>
      <c r="D146" t="s">
        <v>220</v>
      </c>
      <c r="E146" t="s">
        <v>2390</v>
      </c>
      <c r="F146" t="s">
        <v>2436</v>
      </c>
      <c r="J146" t="s">
        <v>2467</v>
      </c>
      <c r="K146" t="s">
        <v>2572</v>
      </c>
      <c r="M146" t="s">
        <v>2436</v>
      </c>
      <c r="N146" t="s">
        <v>2648</v>
      </c>
    </row>
    <row r="147" spans="1:14">
      <c r="A147" s="1">
        <f>HYPERLINK("https://lsnyc.legalserver.org/matter/dynamic-profile/view/1911086","19-1911086")</f>
        <v>0</v>
      </c>
      <c r="B147" t="s">
        <v>16</v>
      </c>
      <c r="C147" t="s">
        <v>41</v>
      </c>
      <c r="D147" t="s">
        <v>221</v>
      </c>
      <c r="F147" t="s">
        <v>2436</v>
      </c>
      <c r="J147" t="s">
        <v>2458</v>
      </c>
      <c r="K147" t="s">
        <v>2569</v>
      </c>
      <c r="M147" t="s">
        <v>2436</v>
      </c>
      <c r="N147" t="s">
        <v>2648</v>
      </c>
    </row>
    <row r="148" spans="1:14">
      <c r="A148" s="1">
        <f>HYPERLINK("https://lsnyc.legalserver.org/matter/dynamic-profile/view/1909317","19-1909317")</f>
        <v>0</v>
      </c>
      <c r="B148" t="s">
        <v>15</v>
      </c>
      <c r="C148" t="s">
        <v>30</v>
      </c>
      <c r="D148" t="s">
        <v>222</v>
      </c>
      <c r="E148" t="s">
        <v>2387</v>
      </c>
      <c r="G148" t="s">
        <v>2444</v>
      </c>
      <c r="J148" t="s">
        <v>2450</v>
      </c>
      <c r="K148" t="s">
        <v>2569</v>
      </c>
      <c r="M148" t="s">
        <v>2629</v>
      </c>
    </row>
    <row r="149" spans="1:14">
      <c r="A149" s="1">
        <f>HYPERLINK("https://lsnyc.legalserver.org/matter/dynamic-profile/view/1910907","19-1910907")</f>
        <v>0</v>
      </c>
      <c r="B149" t="s">
        <v>16</v>
      </c>
      <c r="C149" t="s">
        <v>24</v>
      </c>
      <c r="D149" t="s">
        <v>223</v>
      </c>
      <c r="F149" t="s">
        <v>2436</v>
      </c>
      <c r="J149" t="s">
        <v>2447</v>
      </c>
      <c r="K149" t="s">
        <v>2569</v>
      </c>
      <c r="M149" t="s">
        <v>2436</v>
      </c>
      <c r="N149" t="s">
        <v>2648</v>
      </c>
    </row>
    <row r="150" spans="1:14">
      <c r="A150" s="1">
        <f>HYPERLINK("https://lsnyc.legalserver.org/matter/dynamic-profile/view/1910980","19-1910980")</f>
        <v>0</v>
      </c>
      <c r="B150" t="s">
        <v>15</v>
      </c>
      <c r="C150" t="s">
        <v>22</v>
      </c>
      <c r="D150" t="s">
        <v>224</v>
      </c>
      <c r="E150" t="s">
        <v>2394</v>
      </c>
      <c r="G150" t="s">
        <v>2444</v>
      </c>
      <c r="J150" t="s">
        <v>2477</v>
      </c>
      <c r="K150" t="s">
        <v>2569</v>
      </c>
      <c r="M150" t="s">
        <v>2627</v>
      </c>
    </row>
    <row r="151" spans="1:14">
      <c r="A151" s="1">
        <f>HYPERLINK("https://lsnyc.legalserver.org/matter/dynamic-profile/view/1910795","19-1910795")</f>
        <v>0</v>
      </c>
      <c r="B151" t="s">
        <v>16</v>
      </c>
      <c r="C151" t="s">
        <v>24</v>
      </c>
      <c r="D151" t="s">
        <v>225</v>
      </c>
      <c r="F151" t="s">
        <v>2436</v>
      </c>
      <c r="J151" t="s">
        <v>2448</v>
      </c>
      <c r="K151" t="s">
        <v>2569</v>
      </c>
      <c r="M151" t="s">
        <v>2436</v>
      </c>
      <c r="N151" t="s">
        <v>2648</v>
      </c>
    </row>
    <row r="152" spans="1:14">
      <c r="A152" s="1">
        <f>HYPERLINK("https://lsnyc.legalserver.org/matter/dynamic-profile/view/1910820","19-1910820")</f>
        <v>0</v>
      </c>
      <c r="B152" t="s">
        <v>16</v>
      </c>
      <c r="C152" t="s">
        <v>41</v>
      </c>
      <c r="D152" t="s">
        <v>226</v>
      </c>
      <c r="F152" t="s">
        <v>2436</v>
      </c>
      <c r="J152" t="s">
        <v>2478</v>
      </c>
      <c r="K152" t="s">
        <v>2572</v>
      </c>
      <c r="M152" t="s">
        <v>2436</v>
      </c>
      <c r="N152" t="s">
        <v>2648</v>
      </c>
    </row>
    <row r="153" spans="1:14">
      <c r="A153" s="1">
        <f>HYPERLINK("https://lsnyc.legalserver.org/matter/dynamic-profile/view/1910832","19-1910832")</f>
        <v>0</v>
      </c>
      <c r="B153" t="s">
        <v>16</v>
      </c>
      <c r="C153" t="s">
        <v>46</v>
      </c>
      <c r="D153" t="s">
        <v>227</v>
      </c>
      <c r="E153" t="s">
        <v>2390</v>
      </c>
      <c r="F153" t="s">
        <v>2437</v>
      </c>
      <c r="J153" t="s">
        <v>2447</v>
      </c>
      <c r="K153" t="s">
        <v>2569</v>
      </c>
      <c r="M153" t="s">
        <v>2626</v>
      </c>
    </row>
    <row r="154" spans="1:14">
      <c r="A154" s="1">
        <f>HYPERLINK("https://lsnyc.legalserver.org/matter/dynamic-profile/view/1910873","19-1910873")</f>
        <v>0</v>
      </c>
      <c r="B154" t="s">
        <v>15</v>
      </c>
      <c r="C154" t="s">
        <v>22</v>
      </c>
      <c r="D154" t="s">
        <v>228</v>
      </c>
      <c r="E154" t="s">
        <v>2383</v>
      </c>
      <c r="F154" t="s">
        <v>2437</v>
      </c>
      <c r="J154" t="s">
        <v>2457</v>
      </c>
      <c r="K154" t="s">
        <v>2569</v>
      </c>
      <c r="M154" t="s">
        <v>2624</v>
      </c>
      <c r="N154" t="s">
        <v>2648</v>
      </c>
    </row>
    <row r="155" spans="1:14">
      <c r="A155" s="1">
        <f>HYPERLINK("https://lsnyc.legalserver.org/matter/dynamic-profile/view/1910711","19-1910711")</f>
        <v>0</v>
      </c>
      <c r="B155" t="s">
        <v>16</v>
      </c>
      <c r="C155" t="s">
        <v>41</v>
      </c>
      <c r="D155" t="s">
        <v>229</v>
      </c>
      <c r="F155" t="s">
        <v>2436</v>
      </c>
      <c r="J155" t="s">
        <v>2452</v>
      </c>
      <c r="K155" t="s">
        <v>2572</v>
      </c>
      <c r="M155" t="s">
        <v>2436</v>
      </c>
      <c r="N155" t="s">
        <v>2648</v>
      </c>
    </row>
    <row r="156" spans="1:14">
      <c r="A156" s="1">
        <f>HYPERLINK("https://lsnyc.legalserver.org/matter/dynamic-profile/view/1910732","19-1910732")</f>
        <v>0</v>
      </c>
      <c r="B156" t="s">
        <v>16</v>
      </c>
      <c r="C156" t="s">
        <v>24</v>
      </c>
      <c r="D156" t="s">
        <v>230</v>
      </c>
      <c r="F156" t="s">
        <v>2436</v>
      </c>
      <c r="J156" t="s">
        <v>2471</v>
      </c>
      <c r="K156" t="s">
        <v>2571</v>
      </c>
      <c r="M156" t="s">
        <v>2436</v>
      </c>
    </row>
    <row r="157" spans="1:14">
      <c r="A157" s="1">
        <f>HYPERLINK("https://lsnyc.legalserver.org/matter/dynamic-profile/view/1910752","19-1910752")</f>
        <v>0</v>
      </c>
      <c r="B157" t="s">
        <v>15</v>
      </c>
      <c r="C157" t="s">
        <v>29</v>
      </c>
      <c r="D157" t="s">
        <v>231</v>
      </c>
      <c r="E157" t="s">
        <v>2376</v>
      </c>
      <c r="F157" t="s">
        <v>2437</v>
      </c>
      <c r="G157" t="s">
        <v>2444</v>
      </c>
      <c r="J157" t="s">
        <v>2450</v>
      </c>
      <c r="K157" t="s">
        <v>2569</v>
      </c>
      <c r="L157" t="s">
        <v>2600</v>
      </c>
      <c r="M157" t="s">
        <v>2618</v>
      </c>
    </row>
    <row r="158" spans="1:14">
      <c r="A158" s="1">
        <f>HYPERLINK("https://lsnyc.legalserver.org/matter/dynamic-profile/view/1910757","19-1910757")</f>
        <v>0</v>
      </c>
      <c r="B158" t="s">
        <v>16</v>
      </c>
      <c r="C158" t="s">
        <v>24</v>
      </c>
      <c r="D158" t="s">
        <v>232</v>
      </c>
      <c r="F158" t="s">
        <v>2436</v>
      </c>
      <c r="J158" t="s">
        <v>2448</v>
      </c>
      <c r="K158" t="s">
        <v>2569</v>
      </c>
      <c r="M158" t="s">
        <v>2436</v>
      </c>
      <c r="N158" t="s">
        <v>2648</v>
      </c>
    </row>
    <row r="159" spans="1:14">
      <c r="A159" s="1">
        <f>HYPERLINK("https://lsnyc.legalserver.org/matter/dynamic-profile/view/1910765","19-1910765")</f>
        <v>0</v>
      </c>
      <c r="B159" t="s">
        <v>16</v>
      </c>
      <c r="C159" t="s">
        <v>24</v>
      </c>
      <c r="D159" t="s">
        <v>233</v>
      </c>
      <c r="E159" t="s">
        <v>2390</v>
      </c>
      <c r="F159" t="s">
        <v>2436</v>
      </c>
      <c r="J159" t="s">
        <v>2448</v>
      </c>
      <c r="K159" t="s">
        <v>2569</v>
      </c>
      <c r="M159" t="s">
        <v>2436</v>
      </c>
      <c r="N159" t="s">
        <v>2648</v>
      </c>
    </row>
    <row r="160" spans="1:14">
      <c r="A160" s="1">
        <f>HYPERLINK("https://lsnyc.legalserver.org/matter/dynamic-profile/view/1910780","19-1910780")</f>
        <v>0</v>
      </c>
      <c r="B160" t="s">
        <v>14</v>
      </c>
      <c r="C160" t="s">
        <v>20</v>
      </c>
      <c r="D160" t="s">
        <v>234</v>
      </c>
      <c r="E160" t="s">
        <v>2383</v>
      </c>
      <c r="F160" t="s">
        <v>2437</v>
      </c>
      <c r="J160" t="s">
        <v>2450</v>
      </c>
      <c r="K160" t="s">
        <v>2569</v>
      </c>
      <c r="M160" t="s">
        <v>2624</v>
      </c>
      <c r="N160" t="s">
        <v>2648</v>
      </c>
    </row>
    <row r="161" spans="1:14">
      <c r="A161" s="1">
        <f>HYPERLINK("https://lsnyc.legalserver.org/matter/dynamic-profile/view/1910784","19-1910784")</f>
        <v>0</v>
      </c>
      <c r="B161" t="s">
        <v>15</v>
      </c>
      <c r="C161" t="s">
        <v>22</v>
      </c>
      <c r="D161" t="s">
        <v>235</v>
      </c>
      <c r="E161" t="s">
        <v>2385</v>
      </c>
      <c r="F161" t="s">
        <v>2438</v>
      </c>
      <c r="J161" t="s">
        <v>2460</v>
      </c>
      <c r="K161" t="s">
        <v>2581</v>
      </c>
      <c r="M161" t="s">
        <v>2616</v>
      </c>
    </row>
    <row r="162" spans="1:14">
      <c r="A162" s="1">
        <f>HYPERLINK("https://lsnyc.legalserver.org/matter/dynamic-profile/view/1910622","19-1910622")</f>
        <v>0</v>
      </c>
      <c r="B162" t="s">
        <v>17</v>
      </c>
      <c r="C162" t="s">
        <v>24</v>
      </c>
      <c r="D162" t="s">
        <v>236</v>
      </c>
      <c r="F162" t="s">
        <v>2436</v>
      </c>
      <c r="J162" t="s">
        <v>2457</v>
      </c>
      <c r="K162" t="s">
        <v>2569</v>
      </c>
      <c r="M162" t="s">
        <v>2436</v>
      </c>
      <c r="N162" t="s">
        <v>2648</v>
      </c>
    </row>
    <row r="163" spans="1:14">
      <c r="A163" s="1">
        <f>HYPERLINK("https://lsnyc.legalserver.org/matter/dynamic-profile/view/1910666","19-1910666")</f>
        <v>0</v>
      </c>
      <c r="B163" t="s">
        <v>15</v>
      </c>
      <c r="C163" t="s">
        <v>30</v>
      </c>
      <c r="D163" t="s">
        <v>237</v>
      </c>
      <c r="E163" t="s">
        <v>2383</v>
      </c>
      <c r="F163" t="s">
        <v>2437</v>
      </c>
      <c r="J163" t="s">
        <v>2452</v>
      </c>
      <c r="K163" t="s">
        <v>2572</v>
      </c>
      <c r="M163" t="s">
        <v>2624</v>
      </c>
    </row>
    <row r="164" spans="1:14">
      <c r="A164" s="1">
        <f>HYPERLINK("https://lsnyc.legalserver.org/matter/dynamic-profile/view/1908003","19-1908003")</f>
        <v>0</v>
      </c>
      <c r="B164" t="s">
        <v>17</v>
      </c>
      <c r="C164" t="s">
        <v>25</v>
      </c>
      <c r="D164" t="s">
        <v>238</v>
      </c>
      <c r="E164" t="s">
        <v>2375</v>
      </c>
      <c r="G164" t="s">
        <v>2444</v>
      </c>
      <c r="J164" t="s">
        <v>2467</v>
      </c>
      <c r="K164" t="s">
        <v>2572</v>
      </c>
      <c r="M164" t="s">
        <v>2617</v>
      </c>
    </row>
    <row r="165" spans="1:14">
      <c r="A165" s="1">
        <f>HYPERLINK("https://lsnyc.legalserver.org/matter/dynamic-profile/view/1910557","19-1910557")</f>
        <v>0</v>
      </c>
      <c r="B165" t="s">
        <v>16</v>
      </c>
      <c r="C165" t="s">
        <v>24</v>
      </c>
      <c r="D165" t="s">
        <v>239</v>
      </c>
      <c r="F165" t="s">
        <v>2436</v>
      </c>
      <c r="J165" t="s">
        <v>2479</v>
      </c>
      <c r="K165" t="s">
        <v>2569</v>
      </c>
      <c r="M165" t="s">
        <v>2436</v>
      </c>
      <c r="N165" t="s">
        <v>2648</v>
      </c>
    </row>
    <row r="166" spans="1:14">
      <c r="A166" s="1">
        <f>HYPERLINK("https://lsnyc.legalserver.org/matter/dynamic-profile/view/1910558","19-1910558")</f>
        <v>0</v>
      </c>
      <c r="B166" t="s">
        <v>16</v>
      </c>
      <c r="C166" t="s">
        <v>24</v>
      </c>
      <c r="D166" t="s">
        <v>240</v>
      </c>
      <c r="F166" t="s">
        <v>2436</v>
      </c>
      <c r="J166" t="s">
        <v>2450</v>
      </c>
      <c r="K166" t="s">
        <v>2569</v>
      </c>
      <c r="M166" t="s">
        <v>2436</v>
      </c>
      <c r="N166" t="s">
        <v>2648</v>
      </c>
    </row>
    <row r="167" spans="1:14">
      <c r="A167" s="1">
        <f>HYPERLINK("https://lsnyc.legalserver.org/matter/dynamic-profile/view/1910559","19-1910559")</f>
        <v>0</v>
      </c>
      <c r="B167" t="s">
        <v>16</v>
      </c>
      <c r="C167" t="s">
        <v>24</v>
      </c>
      <c r="D167" t="s">
        <v>241</v>
      </c>
      <c r="E167" t="s">
        <v>2390</v>
      </c>
      <c r="F167" t="s">
        <v>2436</v>
      </c>
      <c r="J167" t="s">
        <v>2474</v>
      </c>
      <c r="K167" t="s">
        <v>2572</v>
      </c>
      <c r="M167" t="s">
        <v>2436</v>
      </c>
      <c r="N167" t="s">
        <v>2648</v>
      </c>
    </row>
    <row r="168" spans="1:14">
      <c r="A168" s="1">
        <f>HYPERLINK("https://lsnyc.legalserver.org/matter/dynamic-profile/view/1910568","19-1910568")</f>
        <v>0</v>
      </c>
      <c r="B168" t="s">
        <v>16</v>
      </c>
      <c r="C168" t="s">
        <v>41</v>
      </c>
      <c r="D168" t="s">
        <v>242</v>
      </c>
      <c r="F168" t="s">
        <v>2440</v>
      </c>
      <c r="J168" t="s">
        <v>2457</v>
      </c>
      <c r="K168" t="s">
        <v>2569</v>
      </c>
      <c r="M168" t="s">
        <v>2631</v>
      </c>
      <c r="N168" t="s">
        <v>2648</v>
      </c>
    </row>
    <row r="169" spans="1:14">
      <c r="A169" s="1">
        <f>HYPERLINK("https://lsnyc.legalserver.org/matter/dynamic-profile/view/1910685","19-1910685")</f>
        <v>0</v>
      </c>
      <c r="B169" t="s">
        <v>19</v>
      </c>
      <c r="C169" t="s">
        <v>50</v>
      </c>
      <c r="D169" t="s">
        <v>243</v>
      </c>
      <c r="E169" t="s">
        <v>2385</v>
      </c>
      <c r="F169" t="s">
        <v>2438</v>
      </c>
      <c r="J169" t="s">
        <v>2449</v>
      </c>
      <c r="K169" t="s">
        <v>2569</v>
      </c>
      <c r="M169" t="s">
        <v>2616</v>
      </c>
      <c r="N169" t="s">
        <v>2649</v>
      </c>
    </row>
    <row r="170" spans="1:14">
      <c r="A170" s="1">
        <f>HYPERLINK("https://lsnyc.legalserver.org/matter/dynamic-profile/view/1910430","19-1910430")</f>
        <v>0</v>
      </c>
      <c r="B170" t="s">
        <v>18</v>
      </c>
      <c r="C170" t="s">
        <v>27</v>
      </c>
      <c r="D170" t="s">
        <v>244</v>
      </c>
      <c r="E170" t="s">
        <v>2376</v>
      </c>
      <c r="F170" t="s">
        <v>2437</v>
      </c>
      <c r="J170" t="s">
        <v>2450</v>
      </c>
      <c r="K170" t="s">
        <v>2569</v>
      </c>
      <c r="L170" t="s">
        <v>2605</v>
      </c>
      <c r="M170" t="s">
        <v>2618</v>
      </c>
      <c r="N170" t="s">
        <v>2649</v>
      </c>
    </row>
    <row r="171" spans="1:14">
      <c r="A171" s="1">
        <f>HYPERLINK("https://lsnyc.legalserver.org/matter/dynamic-profile/view/1910435","19-1910435")</f>
        <v>0</v>
      </c>
      <c r="B171" t="s">
        <v>18</v>
      </c>
      <c r="C171" t="s">
        <v>27</v>
      </c>
      <c r="D171" t="s">
        <v>245</v>
      </c>
      <c r="E171" t="s">
        <v>2376</v>
      </c>
      <c r="F171" t="s">
        <v>2437</v>
      </c>
      <c r="J171" t="s">
        <v>2450</v>
      </c>
      <c r="K171" t="s">
        <v>2569</v>
      </c>
      <c r="L171" t="s">
        <v>2605</v>
      </c>
      <c r="M171" t="s">
        <v>2618</v>
      </c>
      <c r="N171" t="s">
        <v>2649</v>
      </c>
    </row>
    <row r="172" spans="1:14">
      <c r="A172" s="1">
        <f>HYPERLINK("https://lsnyc.legalserver.org/matter/dynamic-profile/view/1910466","19-1910466")</f>
        <v>0</v>
      </c>
      <c r="B172" t="s">
        <v>16</v>
      </c>
      <c r="C172" t="s">
        <v>41</v>
      </c>
      <c r="D172" t="s">
        <v>246</v>
      </c>
      <c r="F172" t="s">
        <v>2436</v>
      </c>
      <c r="J172" t="s">
        <v>2448</v>
      </c>
      <c r="K172" t="s">
        <v>2569</v>
      </c>
      <c r="M172" t="s">
        <v>2436</v>
      </c>
      <c r="N172" t="s">
        <v>2648</v>
      </c>
    </row>
    <row r="173" spans="1:14">
      <c r="A173" s="1">
        <f>HYPERLINK("https://lsnyc.legalserver.org/matter/dynamic-profile/view/1910284","19-1910284")</f>
        <v>0</v>
      </c>
      <c r="B173" t="s">
        <v>15</v>
      </c>
      <c r="C173" t="s">
        <v>39</v>
      </c>
      <c r="D173" t="s">
        <v>247</v>
      </c>
      <c r="E173" t="s">
        <v>2399</v>
      </c>
      <c r="F173" t="s">
        <v>2437</v>
      </c>
      <c r="J173" t="s">
        <v>2447</v>
      </c>
      <c r="K173" t="s">
        <v>2569</v>
      </c>
      <c r="M173" t="s">
        <v>2621</v>
      </c>
    </row>
    <row r="174" spans="1:14">
      <c r="A174" s="1">
        <f>HYPERLINK("https://lsnyc.legalserver.org/matter/dynamic-profile/view/1910329","19-1910329")</f>
        <v>0</v>
      </c>
      <c r="B174" t="s">
        <v>16</v>
      </c>
      <c r="C174" t="s">
        <v>24</v>
      </c>
      <c r="D174" t="s">
        <v>248</v>
      </c>
      <c r="F174" t="s">
        <v>2436</v>
      </c>
      <c r="J174" t="s">
        <v>2448</v>
      </c>
      <c r="K174" t="s">
        <v>2569</v>
      </c>
      <c r="M174" t="s">
        <v>2436</v>
      </c>
      <c r="N174" t="s">
        <v>2648</v>
      </c>
    </row>
    <row r="175" spans="1:14">
      <c r="A175" s="1">
        <f>HYPERLINK("https://lsnyc.legalserver.org/matter/dynamic-profile/view/1910342","19-1910342")</f>
        <v>0</v>
      </c>
      <c r="B175" t="s">
        <v>16</v>
      </c>
      <c r="C175" t="s">
        <v>24</v>
      </c>
      <c r="D175" t="s">
        <v>249</v>
      </c>
      <c r="F175" t="s">
        <v>2436</v>
      </c>
      <c r="J175" t="s">
        <v>2450</v>
      </c>
      <c r="K175" t="s">
        <v>2569</v>
      </c>
      <c r="M175" t="s">
        <v>2436</v>
      </c>
      <c r="N175" t="s">
        <v>2648</v>
      </c>
    </row>
    <row r="176" spans="1:14">
      <c r="A176" s="1">
        <f>HYPERLINK("https://lsnyc.legalserver.org/matter/dynamic-profile/view/1910343","19-1910343")</f>
        <v>0</v>
      </c>
      <c r="B176" t="s">
        <v>18</v>
      </c>
      <c r="C176" t="s">
        <v>24</v>
      </c>
      <c r="D176" t="s">
        <v>250</v>
      </c>
      <c r="F176" t="s">
        <v>2436</v>
      </c>
      <c r="J176" t="s">
        <v>2448</v>
      </c>
      <c r="K176" t="s">
        <v>2569</v>
      </c>
      <c r="M176" t="s">
        <v>2436</v>
      </c>
      <c r="N176" t="s">
        <v>2648</v>
      </c>
    </row>
    <row r="177" spans="1:14">
      <c r="A177" s="1">
        <f>HYPERLINK("https://lsnyc.legalserver.org/matter/dynamic-profile/view/1910101","19-1910101")</f>
        <v>0</v>
      </c>
      <c r="B177" t="s">
        <v>17</v>
      </c>
      <c r="C177" t="s">
        <v>36</v>
      </c>
      <c r="D177" t="s">
        <v>251</v>
      </c>
      <c r="F177" t="s">
        <v>2437</v>
      </c>
      <c r="G177" t="s">
        <v>2444</v>
      </c>
      <c r="J177" t="s">
        <v>2450</v>
      </c>
      <c r="K177" t="s">
        <v>2569</v>
      </c>
      <c r="M177" t="s">
        <v>2614</v>
      </c>
    </row>
    <row r="178" spans="1:14">
      <c r="A178" s="1">
        <f>HYPERLINK("https://lsnyc.legalserver.org/matter/dynamic-profile/view/1910222","19-1910222")</f>
        <v>0</v>
      </c>
      <c r="B178" t="s">
        <v>16</v>
      </c>
      <c r="C178" t="s">
        <v>24</v>
      </c>
      <c r="D178" t="s">
        <v>252</v>
      </c>
      <c r="F178" t="s">
        <v>2436</v>
      </c>
      <c r="J178" t="s">
        <v>2480</v>
      </c>
      <c r="K178" t="s">
        <v>2572</v>
      </c>
      <c r="M178" t="s">
        <v>2436</v>
      </c>
    </row>
    <row r="179" spans="1:14">
      <c r="A179" s="1">
        <f>HYPERLINK("https://lsnyc.legalserver.org/matter/dynamic-profile/view/1910242","19-1910242")</f>
        <v>0</v>
      </c>
      <c r="B179" t="s">
        <v>19</v>
      </c>
      <c r="C179" t="s">
        <v>47</v>
      </c>
      <c r="D179" t="s">
        <v>253</v>
      </c>
      <c r="E179" t="s">
        <v>2376</v>
      </c>
      <c r="F179" t="s">
        <v>2437</v>
      </c>
      <c r="J179" t="s">
        <v>2453</v>
      </c>
      <c r="K179" t="s">
        <v>2572</v>
      </c>
      <c r="L179" t="s">
        <v>2605</v>
      </c>
      <c r="M179" t="s">
        <v>2618</v>
      </c>
      <c r="N179" t="s">
        <v>2648</v>
      </c>
    </row>
    <row r="180" spans="1:14">
      <c r="A180" s="1">
        <f>HYPERLINK("https://lsnyc.legalserver.org/matter/dynamic-profile/view/1910265","19-1910265")</f>
        <v>0</v>
      </c>
      <c r="B180" t="s">
        <v>15</v>
      </c>
      <c r="C180" t="s">
        <v>22</v>
      </c>
      <c r="D180" t="s">
        <v>87</v>
      </c>
      <c r="E180" t="s">
        <v>2385</v>
      </c>
      <c r="F180" t="s">
        <v>2438</v>
      </c>
      <c r="J180" t="s">
        <v>2460</v>
      </c>
      <c r="K180" t="s">
        <v>2572</v>
      </c>
      <c r="M180" t="s">
        <v>2616</v>
      </c>
    </row>
    <row r="181" spans="1:14">
      <c r="A181" s="1">
        <f>HYPERLINK("https://lsnyc.legalserver.org/matter/dynamic-profile/view/1910266","19-1910266")</f>
        <v>0</v>
      </c>
      <c r="B181" t="s">
        <v>15</v>
      </c>
      <c r="C181" t="s">
        <v>22</v>
      </c>
      <c r="D181" t="s">
        <v>87</v>
      </c>
      <c r="E181" t="s">
        <v>2391</v>
      </c>
      <c r="F181" t="s">
        <v>2437</v>
      </c>
      <c r="J181" t="s">
        <v>2460</v>
      </c>
      <c r="K181" t="s">
        <v>2572</v>
      </c>
      <c r="M181" t="s">
        <v>2615</v>
      </c>
      <c r="N181" t="s">
        <v>2648</v>
      </c>
    </row>
    <row r="182" spans="1:14">
      <c r="A182" s="1">
        <f>HYPERLINK("https://lsnyc.legalserver.org/matter/dynamic-profile/view/1910024","19-1910024")</f>
        <v>0</v>
      </c>
      <c r="B182" t="s">
        <v>16</v>
      </c>
      <c r="C182" t="s">
        <v>41</v>
      </c>
      <c r="D182" t="s">
        <v>254</v>
      </c>
      <c r="E182" t="s">
        <v>2390</v>
      </c>
      <c r="F182" t="s">
        <v>2440</v>
      </c>
      <c r="J182" t="s">
        <v>2479</v>
      </c>
      <c r="K182" t="s">
        <v>2572</v>
      </c>
      <c r="L182" t="s">
        <v>2601</v>
      </c>
      <c r="M182" t="s">
        <v>2631</v>
      </c>
    </row>
    <row r="183" spans="1:14">
      <c r="A183" s="1">
        <f>HYPERLINK("https://lsnyc.legalserver.org/matter/dynamic-profile/view/1910084","19-1910084")</f>
        <v>0</v>
      </c>
      <c r="B183" t="s">
        <v>18</v>
      </c>
      <c r="C183" t="s">
        <v>27</v>
      </c>
      <c r="D183" t="s">
        <v>255</v>
      </c>
      <c r="E183" t="s">
        <v>2371</v>
      </c>
      <c r="F183" t="s">
        <v>2437</v>
      </c>
      <c r="J183" t="s">
        <v>2448</v>
      </c>
      <c r="K183" t="s">
        <v>2572</v>
      </c>
      <c r="L183" t="s">
        <v>2605</v>
      </c>
      <c r="M183" t="s">
        <v>2612</v>
      </c>
      <c r="N183" t="s">
        <v>2648</v>
      </c>
    </row>
    <row r="184" spans="1:14">
      <c r="A184" s="1">
        <f>HYPERLINK("https://lsnyc.legalserver.org/matter/dynamic-profile/view/1908925","19-1908925")</f>
        <v>0</v>
      </c>
      <c r="B184" t="s">
        <v>16</v>
      </c>
      <c r="C184" t="s">
        <v>24</v>
      </c>
      <c r="D184" t="s">
        <v>256</v>
      </c>
      <c r="F184" t="s">
        <v>2436</v>
      </c>
      <c r="J184" t="s">
        <v>2448</v>
      </c>
      <c r="K184" t="s">
        <v>2569</v>
      </c>
      <c r="M184" t="s">
        <v>2436</v>
      </c>
    </row>
    <row r="185" spans="1:14">
      <c r="A185" s="1">
        <f>HYPERLINK("https://lsnyc.legalserver.org/matter/dynamic-profile/view/1910005","19-1910005")</f>
        <v>0</v>
      </c>
      <c r="B185" t="s">
        <v>14</v>
      </c>
      <c r="C185" t="s">
        <v>26</v>
      </c>
      <c r="D185" t="s">
        <v>257</v>
      </c>
      <c r="E185" t="s">
        <v>2374</v>
      </c>
      <c r="F185" t="s">
        <v>2437</v>
      </c>
      <c r="J185" t="s">
        <v>2450</v>
      </c>
      <c r="K185" t="s">
        <v>2569</v>
      </c>
      <c r="M185" t="s">
        <v>2616</v>
      </c>
      <c r="N185" t="s">
        <v>2649</v>
      </c>
    </row>
    <row r="186" spans="1:14">
      <c r="A186" s="1">
        <f>HYPERLINK("https://lsnyc.legalserver.org/matter/dynamic-profile/view/1910018","19-1910018")</f>
        <v>0</v>
      </c>
      <c r="B186" t="s">
        <v>19</v>
      </c>
      <c r="C186" t="s">
        <v>47</v>
      </c>
      <c r="D186" t="s">
        <v>258</v>
      </c>
      <c r="E186" t="s">
        <v>2375</v>
      </c>
      <c r="F186" t="s">
        <v>2437</v>
      </c>
      <c r="J186" t="s">
        <v>2477</v>
      </c>
      <c r="K186" t="s">
        <v>2569</v>
      </c>
      <c r="M186" t="s">
        <v>2617</v>
      </c>
      <c r="N186" t="s">
        <v>2648</v>
      </c>
    </row>
    <row r="187" spans="1:14">
      <c r="A187" s="1">
        <f>HYPERLINK("https://lsnyc.legalserver.org/matter/dynamic-profile/view/1910073","19-1910073")</f>
        <v>0</v>
      </c>
      <c r="B187" t="s">
        <v>16</v>
      </c>
      <c r="C187" t="s">
        <v>24</v>
      </c>
      <c r="D187" t="s">
        <v>259</v>
      </c>
      <c r="F187" t="s">
        <v>2436</v>
      </c>
      <c r="J187" t="s">
        <v>2452</v>
      </c>
      <c r="K187" t="s">
        <v>2572</v>
      </c>
      <c r="M187" t="s">
        <v>2436</v>
      </c>
    </row>
    <row r="188" spans="1:14">
      <c r="A188" s="1">
        <f>HYPERLINK("https://lsnyc.legalserver.org/matter/dynamic-profile/view/1910078","19-1910078")</f>
        <v>0</v>
      </c>
      <c r="B188" t="s">
        <v>14</v>
      </c>
      <c r="C188" t="s">
        <v>21</v>
      </c>
      <c r="D188" t="s">
        <v>83</v>
      </c>
      <c r="E188" t="s">
        <v>2374</v>
      </c>
      <c r="F188" t="s">
        <v>2438</v>
      </c>
      <c r="J188" t="s">
        <v>2448</v>
      </c>
      <c r="K188" t="s">
        <v>2569</v>
      </c>
      <c r="M188" t="s">
        <v>2616</v>
      </c>
      <c r="N188" t="s">
        <v>2649</v>
      </c>
    </row>
    <row r="189" spans="1:14">
      <c r="A189" s="1">
        <f>HYPERLINK("https://lsnyc.legalserver.org/matter/dynamic-profile/view/1910079","19-1910079")</f>
        <v>0</v>
      </c>
      <c r="B189" t="s">
        <v>18</v>
      </c>
      <c r="C189" t="s">
        <v>27</v>
      </c>
      <c r="D189" t="s">
        <v>260</v>
      </c>
      <c r="E189" t="s">
        <v>2376</v>
      </c>
      <c r="F189" t="s">
        <v>2437</v>
      </c>
      <c r="J189" t="s">
        <v>2473</v>
      </c>
      <c r="K189" t="s">
        <v>2572</v>
      </c>
      <c r="L189" t="s">
        <v>2600</v>
      </c>
      <c r="M189" t="s">
        <v>2626</v>
      </c>
    </row>
    <row r="190" spans="1:14">
      <c r="A190" s="1">
        <f>HYPERLINK("https://lsnyc.legalserver.org/matter/dynamic-profile/view/1910105","19-1910105")</f>
        <v>0</v>
      </c>
      <c r="B190" t="s">
        <v>16</v>
      </c>
      <c r="C190" t="s">
        <v>46</v>
      </c>
      <c r="D190" t="s">
        <v>261</v>
      </c>
      <c r="E190" t="s">
        <v>2390</v>
      </c>
      <c r="F190" t="s">
        <v>2437</v>
      </c>
      <c r="J190" t="s">
        <v>2448</v>
      </c>
      <c r="K190" t="s">
        <v>2569</v>
      </c>
      <c r="M190" t="s">
        <v>2619</v>
      </c>
    </row>
    <row r="191" spans="1:14">
      <c r="A191" s="1">
        <f>HYPERLINK("https://lsnyc.legalserver.org/matter/dynamic-profile/view/1910107","19-1910107")</f>
        <v>0</v>
      </c>
      <c r="B191" t="s">
        <v>16</v>
      </c>
      <c r="C191" t="s">
        <v>23</v>
      </c>
      <c r="D191" t="s">
        <v>262</v>
      </c>
      <c r="E191" t="s">
        <v>2375</v>
      </c>
      <c r="F191" t="s">
        <v>2437</v>
      </c>
      <c r="J191" t="s">
        <v>2452</v>
      </c>
      <c r="K191" t="s">
        <v>2572</v>
      </c>
      <c r="M191" t="s">
        <v>2617</v>
      </c>
    </row>
    <row r="192" spans="1:14">
      <c r="A192" s="1">
        <f>HYPERLINK("https://lsnyc.legalserver.org/matter/dynamic-profile/view/1910110","19-1910110")</f>
        <v>0</v>
      </c>
      <c r="B192" t="s">
        <v>18</v>
      </c>
      <c r="C192" t="s">
        <v>45</v>
      </c>
      <c r="D192" t="s">
        <v>263</v>
      </c>
      <c r="E192" t="s">
        <v>2400</v>
      </c>
      <c r="G192" t="s">
        <v>2444</v>
      </c>
      <c r="J192" t="s">
        <v>2481</v>
      </c>
      <c r="K192" t="s">
        <v>2569</v>
      </c>
      <c r="M192" t="s">
        <v>2635</v>
      </c>
    </row>
    <row r="193" spans="1:14">
      <c r="A193" s="1">
        <f>HYPERLINK("https://lsnyc.legalserver.org/matter/dynamic-profile/view/1910977","19-1910977")</f>
        <v>0</v>
      </c>
      <c r="B193" t="s">
        <v>16</v>
      </c>
      <c r="C193" t="s">
        <v>23</v>
      </c>
      <c r="D193" t="s">
        <v>264</v>
      </c>
      <c r="E193" t="s">
        <v>2375</v>
      </c>
      <c r="F193" t="s">
        <v>2437</v>
      </c>
      <c r="J193" t="s">
        <v>2482</v>
      </c>
      <c r="K193" t="s">
        <v>2572</v>
      </c>
      <c r="M193" t="s">
        <v>2617</v>
      </c>
    </row>
    <row r="194" spans="1:14">
      <c r="A194" s="1">
        <f>HYPERLINK("https://lsnyc.legalserver.org/matter/dynamic-profile/view/1909926","19-1909926")</f>
        <v>0</v>
      </c>
      <c r="B194" t="s">
        <v>14</v>
      </c>
      <c r="C194" t="s">
        <v>26</v>
      </c>
      <c r="D194" t="s">
        <v>265</v>
      </c>
      <c r="E194" t="s">
        <v>2376</v>
      </c>
      <c r="F194" t="s">
        <v>2437</v>
      </c>
      <c r="J194" t="s">
        <v>2450</v>
      </c>
      <c r="K194" t="s">
        <v>2569</v>
      </c>
      <c r="M194" t="s">
        <v>2618</v>
      </c>
      <c r="N194" t="s">
        <v>2649</v>
      </c>
    </row>
    <row r="195" spans="1:14">
      <c r="A195" s="1">
        <f>HYPERLINK("https://lsnyc.legalserver.org/matter/dynamic-profile/view/1909934","19-1909934")</f>
        <v>0</v>
      </c>
      <c r="B195" t="s">
        <v>14</v>
      </c>
      <c r="C195" t="s">
        <v>26</v>
      </c>
      <c r="D195" t="s">
        <v>266</v>
      </c>
      <c r="E195" t="s">
        <v>2376</v>
      </c>
      <c r="F195" t="s">
        <v>2437</v>
      </c>
      <c r="J195" t="s">
        <v>2450</v>
      </c>
      <c r="K195" t="s">
        <v>2569</v>
      </c>
      <c r="M195" t="s">
        <v>2618</v>
      </c>
      <c r="N195" t="s">
        <v>2649</v>
      </c>
    </row>
    <row r="196" spans="1:14">
      <c r="A196" s="1">
        <f>HYPERLINK("https://lsnyc.legalserver.org/matter/dynamic-profile/view/1909951","19-1909951")</f>
        <v>0</v>
      </c>
      <c r="B196" t="s">
        <v>14</v>
      </c>
      <c r="C196" t="s">
        <v>26</v>
      </c>
      <c r="D196" t="s">
        <v>267</v>
      </c>
      <c r="E196" t="s">
        <v>2401</v>
      </c>
      <c r="F196" t="s">
        <v>2441</v>
      </c>
      <c r="J196" t="s">
        <v>2447</v>
      </c>
      <c r="K196" t="s">
        <v>2569</v>
      </c>
      <c r="M196" t="s">
        <v>2614</v>
      </c>
      <c r="N196" t="s">
        <v>2648</v>
      </c>
    </row>
    <row r="197" spans="1:14">
      <c r="A197" s="1">
        <f>HYPERLINK("https://lsnyc.legalserver.org/matter/dynamic-profile/view/1909966","19-1909966")</f>
        <v>0</v>
      </c>
      <c r="B197" t="s">
        <v>16</v>
      </c>
      <c r="C197" t="s">
        <v>23</v>
      </c>
      <c r="D197" t="s">
        <v>268</v>
      </c>
      <c r="E197" t="s">
        <v>2375</v>
      </c>
      <c r="F197" t="s">
        <v>2437</v>
      </c>
      <c r="J197" t="s">
        <v>2452</v>
      </c>
      <c r="K197" t="s">
        <v>2572</v>
      </c>
      <c r="M197" t="s">
        <v>2617</v>
      </c>
      <c r="N197" t="s">
        <v>2648</v>
      </c>
    </row>
    <row r="198" spans="1:14">
      <c r="A198" s="1">
        <f>HYPERLINK("https://lsnyc.legalserver.org/matter/dynamic-profile/view/1909871","19-1909871")</f>
        <v>0</v>
      </c>
      <c r="B198" t="s">
        <v>16</v>
      </c>
      <c r="C198" t="s">
        <v>24</v>
      </c>
      <c r="D198" t="s">
        <v>269</v>
      </c>
      <c r="F198" t="s">
        <v>2439</v>
      </c>
      <c r="J198" t="s">
        <v>2455</v>
      </c>
      <c r="K198" t="s">
        <v>2569</v>
      </c>
      <c r="L198" t="s">
        <v>2601</v>
      </c>
      <c r="M198" t="s">
        <v>2631</v>
      </c>
    </row>
    <row r="199" spans="1:14">
      <c r="A199" s="1">
        <f>HYPERLINK("https://lsnyc.legalserver.org/matter/dynamic-profile/view/1909826","19-1909826")</f>
        <v>0</v>
      </c>
      <c r="B199" t="s">
        <v>15</v>
      </c>
      <c r="C199" t="s">
        <v>22</v>
      </c>
      <c r="D199" t="s">
        <v>270</v>
      </c>
      <c r="E199" t="s">
        <v>2387</v>
      </c>
      <c r="F199" t="s">
        <v>2437</v>
      </c>
      <c r="J199" t="s">
        <v>2465</v>
      </c>
      <c r="K199" t="s">
        <v>2569</v>
      </c>
      <c r="M199" t="s">
        <v>2629</v>
      </c>
    </row>
    <row r="200" spans="1:14">
      <c r="A200" s="1">
        <f>HYPERLINK("https://lsnyc.legalserver.org/matter/dynamic-profile/view/1909309","19-1909309")</f>
        <v>0</v>
      </c>
      <c r="B200" t="s">
        <v>17</v>
      </c>
      <c r="C200" t="s">
        <v>36</v>
      </c>
      <c r="D200" t="s">
        <v>271</v>
      </c>
      <c r="E200" t="s">
        <v>2371</v>
      </c>
      <c r="G200" t="s">
        <v>2444</v>
      </c>
      <c r="J200" t="s">
        <v>2454</v>
      </c>
      <c r="K200" t="s">
        <v>2572</v>
      </c>
      <c r="M200" t="s">
        <v>2612</v>
      </c>
    </row>
    <row r="201" spans="1:14">
      <c r="A201" s="1">
        <f>HYPERLINK("https://lsnyc.legalserver.org/matter/dynamic-profile/view/1909727","19-1909727")</f>
        <v>0</v>
      </c>
      <c r="B201" t="s">
        <v>16</v>
      </c>
      <c r="C201" t="s">
        <v>24</v>
      </c>
      <c r="D201" t="s">
        <v>272</v>
      </c>
      <c r="E201" t="s">
        <v>2390</v>
      </c>
      <c r="F201" t="s">
        <v>2436</v>
      </c>
      <c r="J201" t="s">
        <v>2448</v>
      </c>
      <c r="K201" t="s">
        <v>2572</v>
      </c>
      <c r="M201" t="s">
        <v>2436</v>
      </c>
    </row>
    <row r="202" spans="1:14">
      <c r="A202" s="1">
        <f>HYPERLINK("https://lsnyc.legalserver.org/matter/dynamic-profile/view/1909641","19-1909641")</f>
        <v>0</v>
      </c>
      <c r="B202" t="s">
        <v>18</v>
      </c>
      <c r="C202" t="s">
        <v>27</v>
      </c>
      <c r="D202" t="s">
        <v>273</v>
      </c>
      <c r="E202" t="s">
        <v>2371</v>
      </c>
      <c r="F202" t="s">
        <v>2437</v>
      </c>
      <c r="J202" t="s">
        <v>2462</v>
      </c>
      <c r="K202" t="s">
        <v>2572</v>
      </c>
      <c r="L202" t="s">
        <v>2605</v>
      </c>
      <c r="M202" t="s">
        <v>2612</v>
      </c>
      <c r="N202" t="s">
        <v>2648</v>
      </c>
    </row>
    <row r="203" spans="1:14">
      <c r="A203" s="1">
        <f>HYPERLINK("https://lsnyc.legalserver.org/matter/dynamic-profile/view/1909635","19-1909635")</f>
        <v>0</v>
      </c>
      <c r="B203" t="s">
        <v>16</v>
      </c>
      <c r="C203" t="s">
        <v>23</v>
      </c>
      <c r="D203" t="s">
        <v>274</v>
      </c>
      <c r="E203" t="s">
        <v>2385</v>
      </c>
      <c r="F203" t="s">
        <v>2437</v>
      </c>
      <c r="G203" t="s">
        <v>2444</v>
      </c>
      <c r="J203" t="s">
        <v>2452</v>
      </c>
      <c r="K203" t="s">
        <v>2572</v>
      </c>
      <c r="M203" t="s">
        <v>2616</v>
      </c>
    </row>
    <row r="204" spans="1:14">
      <c r="A204" s="1">
        <f>HYPERLINK("https://lsnyc.legalserver.org/matter/dynamic-profile/view/1909568","19-1909568")</f>
        <v>0</v>
      </c>
      <c r="B204" t="s">
        <v>18</v>
      </c>
      <c r="C204" t="s">
        <v>35</v>
      </c>
      <c r="D204" t="s">
        <v>275</v>
      </c>
      <c r="E204" t="s">
        <v>2390</v>
      </c>
      <c r="F204" t="s">
        <v>2440</v>
      </c>
      <c r="J204" t="s">
        <v>2448</v>
      </c>
      <c r="K204" t="s">
        <v>2569</v>
      </c>
      <c r="L204" t="s">
        <v>2602</v>
      </c>
      <c r="M204" t="s">
        <v>2631</v>
      </c>
    </row>
    <row r="205" spans="1:14">
      <c r="A205" s="1">
        <f>HYPERLINK("https://lsnyc.legalserver.org/matter/dynamic-profile/view/1909559","19-1909559")</f>
        <v>0</v>
      </c>
      <c r="B205" t="s">
        <v>18</v>
      </c>
      <c r="C205" t="s">
        <v>35</v>
      </c>
      <c r="D205" t="s">
        <v>276</v>
      </c>
      <c r="E205" t="s">
        <v>2376</v>
      </c>
      <c r="F205" t="s">
        <v>2437</v>
      </c>
      <c r="K205" t="s">
        <v>2569</v>
      </c>
      <c r="L205" t="s">
        <v>2603</v>
      </c>
      <c r="M205" t="s">
        <v>2618</v>
      </c>
      <c r="N205" t="s">
        <v>2649</v>
      </c>
    </row>
    <row r="206" spans="1:14">
      <c r="A206" s="1">
        <f>HYPERLINK("https://lsnyc.legalserver.org/matter/dynamic-profile/view/1909468","19-1909468")</f>
        <v>0</v>
      </c>
      <c r="B206" t="s">
        <v>14</v>
      </c>
      <c r="C206" t="s">
        <v>21</v>
      </c>
      <c r="D206" t="s">
        <v>277</v>
      </c>
      <c r="E206" t="s">
        <v>2376</v>
      </c>
      <c r="F206" t="s">
        <v>2437</v>
      </c>
      <c r="J206" t="s">
        <v>2452</v>
      </c>
      <c r="K206" t="s">
        <v>2572</v>
      </c>
      <c r="L206" t="s">
        <v>2600</v>
      </c>
      <c r="M206" t="s">
        <v>2618</v>
      </c>
      <c r="N206" t="s">
        <v>2648</v>
      </c>
    </row>
    <row r="207" spans="1:14">
      <c r="A207" s="1">
        <f>HYPERLINK("https://lsnyc.legalserver.org/matter/dynamic-profile/view/1909486","19-1909486")</f>
        <v>0</v>
      </c>
      <c r="B207" t="s">
        <v>14</v>
      </c>
      <c r="C207" t="s">
        <v>21</v>
      </c>
      <c r="D207" t="s">
        <v>278</v>
      </c>
      <c r="E207" t="s">
        <v>2376</v>
      </c>
      <c r="F207" t="s">
        <v>2437</v>
      </c>
      <c r="J207" t="s">
        <v>2452</v>
      </c>
      <c r="K207" t="s">
        <v>2572</v>
      </c>
      <c r="M207" t="s">
        <v>2618</v>
      </c>
      <c r="N207" t="s">
        <v>2648</v>
      </c>
    </row>
    <row r="208" spans="1:14">
      <c r="A208" s="1">
        <f>HYPERLINK("https://lsnyc.legalserver.org/matter/dynamic-profile/view/1909538","19-1909538")</f>
        <v>0</v>
      </c>
      <c r="B208" t="s">
        <v>18</v>
      </c>
      <c r="C208" t="s">
        <v>51</v>
      </c>
      <c r="D208" t="s">
        <v>279</v>
      </c>
      <c r="E208" t="s">
        <v>2402</v>
      </c>
      <c r="F208" t="s">
        <v>2441</v>
      </c>
      <c r="J208" t="s">
        <v>2483</v>
      </c>
      <c r="K208" t="s">
        <v>2572</v>
      </c>
      <c r="M208" t="s">
        <v>2614</v>
      </c>
      <c r="N208" t="s">
        <v>2648</v>
      </c>
    </row>
    <row r="209" spans="1:14">
      <c r="A209" s="1">
        <f>HYPERLINK("https://lsnyc.legalserver.org/matter/dynamic-profile/view/1909556","19-1909556")</f>
        <v>0</v>
      </c>
      <c r="B209" t="s">
        <v>16</v>
      </c>
      <c r="C209" t="s">
        <v>24</v>
      </c>
      <c r="D209" t="s">
        <v>280</v>
      </c>
      <c r="F209" t="s">
        <v>2436</v>
      </c>
      <c r="J209" t="s">
        <v>2458</v>
      </c>
      <c r="K209" t="s">
        <v>2569</v>
      </c>
      <c r="M209" t="s">
        <v>2436</v>
      </c>
    </row>
    <row r="210" spans="1:14">
      <c r="A210" s="1">
        <f>HYPERLINK("https://lsnyc.legalserver.org/matter/dynamic-profile/view/1909564","19-1909564")</f>
        <v>0</v>
      </c>
      <c r="B210" t="s">
        <v>15</v>
      </c>
      <c r="C210" t="s">
        <v>52</v>
      </c>
      <c r="D210" t="s">
        <v>281</v>
      </c>
      <c r="E210" t="s">
        <v>2391</v>
      </c>
      <c r="F210" t="s">
        <v>2439</v>
      </c>
      <c r="K210" t="s">
        <v>2569</v>
      </c>
      <c r="M210" t="s">
        <v>2631</v>
      </c>
    </row>
    <row r="211" spans="1:14">
      <c r="A211" s="1">
        <f>HYPERLINK("https://lsnyc.legalserver.org/matter/dynamic-profile/view/1909566","19-1909566")</f>
        <v>0</v>
      </c>
      <c r="B211" t="s">
        <v>18</v>
      </c>
      <c r="C211" t="s">
        <v>35</v>
      </c>
      <c r="D211" t="s">
        <v>282</v>
      </c>
      <c r="E211" t="s">
        <v>2376</v>
      </c>
      <c r="F211" t="s">
        <v>2437</v>
      </c>
      <c r="J211" t="s">
        <v>2449</v>
      </c>
      <c r="K211" t="s">
        <v>2569</v>
      </c>
      <c r="L211" t="s">
        <v>2600</v>
      </c>
      <c r="M211" t="s">
        <v>2618</v>
      </c>
      <c r="N211" t="s">
        <v>2649</v>
      </c>
    </row>
    <row r="212" spans="1:14">
      <c r="A212" s="1">
        <f>HYPERLINK("https://lsnyc.legalserver.org/matter/dynamic-profile/view/1909575","19-1909575")</f>
        <v>0</v>
      </c>
      <c r="B212" t="s">
        <v>15</v>
      </c>
      <c r="C212" t="s">
        <v>22</v>
      </c>
      <c r="D212" t="s">
        <v>283</v>
      </c>
      <c r="E212" t="s">
        <v>2371</v>
      </c>
      <c r="G212" t="s">
        <v>2444</v>
      </c>
      <c r="K212" t="s">
        <v>2569</v>
      </c>
      <c r="M212" t="s">
        <v>2612</v>
      </c>
    </row>
    <row r="213" spans="1:14">
      <c r="A213" s="1">
        <f>HYPERLINK("https://lsnyc.legalserver.org/matter/dynamic-profile/view/1909436","19-1909436")</f>
        <v>0</v>
      </c>
      <c r="B213" t="s">
        <v>15</v>
      </c>
      <c r="C213" t="s">
        <v>31</v>
      </c>
      <c r="D213" t="s">
        <v>284</v>
      </c>
      <c r="E213" t="s">
        <v>2396</v>
      </c>
      <c r="F213" t="s">
        <v>2437</v>
      </c>
      <c r="J213" t="s">
        <v>2457</v>
      </c>
      <c r="K213" t="s">
        <v>2569</v>
      </c>
      <c r="L213" t="s">
        <v>2600</v>
      </c>
      <c r="M213" t="s">
        <v>2633</v>
      </c>
    </row>
    <row r="214" spans="1:14">
      <c r="A214" s="1">
        <f>HYPERLINK("https://lsnyc.legalserver.org/matter/dynamic-profile/view/1909446","19-1909446")</f>
        <v>0</v>
      </c>
      <c r="B214" t="s">
        <v>15</v>
      </c>
      <c r="C214" t="s">
        <v>30</v>
      </c>
      <c r="D214" t="s">
        <v>285</v>
      </c>
      <c r="E214" t="s">
        <v>2383</v>
      </c>
      <c r="F214" t="s">
        <v>2437</v>
      </c>
      <c r="J214" t="s">
        <v>2465</v>
      </c>
      <c r="K214" t="s">
        <v>2569</v>
      </c>
      <c r="M214" t="s">
        <v>2624</v>
      </c>
    </row>
    <row r="215" spans="1:14">
      <c r="A215" s="1">
        <f>HYPERLINK("https://lsnyc.legalserver.org/matter/dynamic-profile/view/1909305","19-1909305")</f>
        <v>0</v>
      </c>
      <c r="B215" t="s">
        <v>19</v>
      </c>
      <c r="C215" t="s">
        <v>48</v>
      </c>
      <c r="D215" t="s">
        <v>243</v>
      </c>
      <c r="E215" t="s">
        <v>2373</v>
      </c>
      <c r="F215" t="s">
        <v>2441</v>
      </c>
      <c r="J215" t="s">
        <v>2449</v>
      </c>
      <c r="K215" t="s">
        <v>2569</v>
      </c>
      <c r="L215" t="s">
        <v>2600</v>
      </c>
      <c r="M215" t="s">
        <v>2615</v>
      </c>
    </row>
    <row r="216" spans="1:14">
      <c r="A216" s="1">
        <f>HYPERLINK("https://lsnyc.legalserver.org/matter/dynamic-profile/view/1909154","19-1909154")</f>
        <v>0</v>
      </c>
      <c r="B216" t="s">
        <v>16</v>
      </c>
      <c r="C216" t="s">
        <v>23</v>
      </c>
      <c r="D216" t="s">
        <v>286</v>
      </c>
      <c r="E216" t="s">
        <v>2375</v>
      </c>
      <c r="F216" t="s">
        <v>2437</v>
      </c>
      <c r="J216" t="s">
        <v>2452</v>
      </c>
      <c r="K216" t="s">
        <v>2572</v>
      </c>
      <c r="M216" t="s">
        <v>2617</v>
      </c>
      <c r="N216" t="s">
        <v>2648</v>
      </c>
    </row>
    <row r="217" spans="1:14">
      <c r="A217" s="1">
        <f>HYPERLINK("https://lsnyc.legalserver.org/matter/dynamic-profile/view/1909178","19-1909178")</f>
        <v>0</v>
      </c>
      <c r="B217" t="s">
        <v>16</v>
      </c>
      <c r="C217" t="s">
        <v>23</v>
      </c>
      <c r="D217" t="s">
        <v>287</v>
      </c>
      <c r="E217" t="s">
        <v>2390</v>
      </c>
      <c r="F217" t="s">
        <v>2437</v>
      </c>
      <c r="J217" t="s">
        <v>2457</v>
      </c>
      <c r="K217" t="s">
        <v>2572</v>
      </c>
      <c r="M217" t="s">
        <v>2619</v>
      </c>
    </row>
    <row r="218" spans="1:14">
      <c r="A218" s="1">
        <f>HYPERLINK("https://lsnyc.legalserver.org/matter/dynamic-profile/view/1909179","19-1909179")</f>
        <v>0</v>
      </c>
      <c r="B218" t="s">
        <v>19</v>
      </c>
      <c r="C218" t="s">
        <v>38</v>
      </c>
      <c r="D218" t="s">
        <v>288</v>
      </c>
      <c r="E218" t="s">
        <v>2371</v>
      </c>
      <c r="F218" t="s">
        <v>2440</v>
      </c>
      <c r="J218" t="s">
        <v>2452</v>
      </c>
      <c r="K218" t="s">
        <v>2572</v>
      </c>
      <c r="L218" t="s">
        <v>2606</v>
      </c>
      <c r="M218" t="s">
        <v>2636</v>
      </c>
      <c r="N218" t="s">
        <v>2648</v>
      </c>
    </row>
    <row r="219" spans="1:14">
      <c r="A219" s="1">
        <f>HYPERLINK("https://lsnyc.legalserver.org/matter/dynamic-profile/view/1909218","19-1909218")</f>
        <v>0</v>
      </c>
      <c r="B219" t="s">
        <v>14</v>
      </c>
      <c r="C219" t="s">
        <v>26</v>
      </c>
      <c r="D219" t="s">
        <v>289</v>
      </c>
      <c r="E219" t="s">
        <v>2376</v>
      </c>
      <c r="F219" t="s">
        <v>2437</v>
      </c>
      <c r="J219" t="s">
        <v>2450</v>
      </c>
      <c r="K219" t="s">
        <v>2569</v>
      </c>
      <c r="M219" t="s">
        <v>2618</v>
      </c>
      <c r="N219" t="s">
        <v>2649</v>
      </c>
    </row>
    <row r="220" spans="1:14">
      <c r="A220" s="1">
        <f>HYPERLINK("https://lsnyc.legalserver.org/matter/dynamic-profile/view/1909239","19-1909239")</f>
        <v>0</v>
      </c>
      <c r="B220" t="s">
        <v>15</v>
      </c>
      <c r="C220" t="s">
        <v>30</v>
      </c>
      <c r="D220" t="s">
        <v>290</v>
      </c>
      <c r="E220" t="s">
        <v>2376</v>
      </c>
      <c r="F220" t="s">
        <v>2438</v>
      </c>
      <c r="J220" t="s">
        <v>2457</v>
      </c>
      <c r="K220" t="s">
        <v>2569</v>
      </c>
      <c r="M220" t="s">
        <v>2626</v>
      </c>
    </row>
    <row r="221" spans="1:14">
      <c r="A221" s="1">
        <f>HYPERLINK("https://lsnyc.legalserver.org/matter/dynamic-profile/view/1909242","19-1909242")</f>
        <v>0</v>
      </c>
      <c r="B221" t="s">
        <v>19</v>
      </c>
      <c r="C221" t="s">
        <v>50</v>
      </c>
      <c r="D221" t="s">
        <v>188</v>
      </c>
      <c r="E221" t="s">
        <v>2374</v>
      </c>
      <c r="F221" t="s">
        <v>2438</v>
      </c>
      <c r="J221" t="s">
        <v>2450</v>
      </c>
      <c r="K221" t="s">
        <v>2569</v>
      </c>
      <c r="M221" t="s">
        <v>2616</v>
      </c>
      <c r="N221" t="s">
        <v>2649</v>
      </c>
    </row>
    <row r="222" spans="1:14">
      <c r="A222" s="1">
        <f>HYPERLINK("https://lsnyc.legalserver.org/matter/dynamic-profile/view/1909018","19-1909018")</f>
        <v>0</v>
      </c>
      <c r="B222" t="s">
        <v>16</v>
      </c>
      <c r="C222" t="s">
        <v>41</v>
      </c>
      <c r="D222" t="s">
        <v>291</v>
      </c>
      <c r="F222" t="s">
        <v>2436</v>
      </c>
      <c r="J222" t="s">
        <v>2477</v>
      </c>
      <c r="K222" t="s">
        <v>2572</v>
      </c>
      <c r="M222" t="s">
        <v>2436</v>
      </c>
    </row>
    <row r="223" spans="1:14">
      <c r="A223" s="1">
        <f>HYPERLINK("https://lsnyc.legalserver.org/matter/dynamic-profile/view/1909073","19-1909073")</f>
        <v>0</v>
      </c>
      <c r="B223" t="s">
        <v>15</v>
      </c>
      <c r="C223" t="s">
        <v>31</v>
      </c>
      <c r="D223" t="s">
        <v>292</v>
      </c>
      <c r="E223" t="s">
        <v>2393</v>
      </c>
      <c r="G223" t="s">
        <v>2444</v>
      </c>
      <c r="J223" t="s">
        <v>2447</v>
      </c>
      <c r="K223" t="s">
        <v>2569</v>
      </c>
      <c r="M223" t="s">
        <v>2637</v>
      </c>
    </row>
    <row r="224" spans="1:14">
      <c r="A224" s="1">
        <f>HYPERLINK("https://lsnyc.legalserver.org/matter/dynamic-profile/view/1909094","19-1909094")</f>
        <v>0</v>
      </c>
      <c r="B224" t="s">
        <v>19</v>
      </c>
      <c r="C224" t="s">
        <v>50</v>
      </c>
      <c r="D224" t="s">
        <v>187</v>
      </c>
      <c r="E224" t="s">
        <v>2374</v>
      </c>
      <c r="F224" t="s">
        <v>2438</v>
      </c>
      <c r="J224" t="s">
        <v>2450</v>
      </c>
      <c r="K224" t="s">
        <v>2569</v>
      </c>
      <c r="M224" t="s">
        <v>2616</v>
      </c>
      <c r="N224" t="s">
        <v>2649</v>
      </c>
    </row>
    <row r="225" spans="1:14">
      <c r="A225" s="1">
        <f>HYPERLINK("https://lsnyc.legalserver.org/matter/dynamic-profile/view/1909100","19-1909100")</f>
        <v>0</v>
      </c>
      <c r="B225" t="s">
        <v>17</v>
      </c>
      <c r="C225" t="s">
        <v>25</v>
      </c>
      <c r="D225" t="s">
        <v>293</v>
      </c>
      <c r="E225" t="s">
        <v>2376</v>
      </c>
      <c r="F225" t="s">
        <v>2437</v>
      </c>
      <c r="G225" t="s">
        <v>2444</v>
      </c>
      <c r="K225" t="s">
        <v>2572</v>
      </c>
      <c r="M225" t="s">
        <v>2618</v>
      </c>
    </row>
    <row r="226" spans="1:14">
      <c r="A226" s="1">
        <f>HYPERLINK("https://lsnyc.legalserver.org/matter/dynamic-profile/view/1909101","19-1909101")</f>
        <v>0</v>
      </c>
      <c r="B226" t="s">
        <v>17</v>
      </c>
      <c r="C226" t="s">
        <v>25</v>
      </c>
      <c r="D226" t="s">
        <v>294</v>
      </c>
      <c r="E226" t="s">
        <v>2376</v>
      </c>
      <c r="F226" t="s">
        <v>2437</v>
      </c>
      <c r="G226" t="s">
        <v>2444</v>
      </c>
      <c r="K226" t="s">
        <v>2572</v>
      </c>
      <c r="M226" t="s">
        <v>2618</v>
      </c>
    </row>
    <row r="227" spans="1:14">
      <c r="A227" s="1">
        <f>HYPERLINK("https://lsnyc.legalserver.org/matter/dynamic-profile/view/1908884","19-1908884")</f>
        <v>0</v>
      </c>
      <c r="B227" t="s">
        <v>14</v>
      </c>
      <c r="C227" t="s">
        <v>21</v>
      </c>
      <c r="D227" t="s">
        <v>295</v>
      </c>
      <c r="E227" t="s">
        <v>2376</v>
      </c>
      <c r="F227" t="s">
        <v>2437</v>
      </c>
      <c r="G227" t="s">
        <v>2444</v>
      </c>
      <c r="J227" t="s">
        <v>2484</v>
      </c>
      <c r="K227" t="s">
        <v>2582</v>
      </c>
      <c r="L227" t="s">
        <v>2600</v>
      </c>
      <c r="M227" t="s">
        <v>2618</v>
      </c>
      <c r="N227" t="s">
        <v>2648</v>
      </c>
    </row>
    <row r="228" spans="1:14">
      <c r="A228" s="1">
        <f>HYPERLINK("https://lsnyc.legalserver.org/matter/dynamic-profile/view/1908947","19-1908947")</f>
        <v>0</v>
      </c>
      <c r="B228" t="s">
        <v>16</v>
      </c>
      <c r="C228" t="s">
        <v>41</v>
      </c>
      <c r="D228" t="s">
        <v>296</v>
      </c>
      <c r="E228" t="s">
        <v>2390</v>
      </c>
      <c r="F228" t="s">
        <v>2436</v>
      </c>
      <c r="J228" t="s">
        <v>2482</v>
      </c>
      <c r="K228" t="s">
        <v>2572</v>
      </c>
      <c r="M228" t="s">
        <v>2436</v>
      </c>
    </row>
    <row r="229" spans="1:14">
      <c r="A229" s="1">
        <f>HYPERLINK("https://lsnyc.legalserver.org/matter/dynamic-profile/view/1908966","19-1908966")</f>
        <v>0</v>
      </c>
      <c r="B229" t="s">
        <v>16</v>
      </c>
      <c r="C229" t="s">
        <v>23</v>
      </c>
      <c r="D229" t="s">
        <v>297</v>
      </c>
      <c r="E229" t="s">
        <v>2375</v>
      </c>
      <c r="F229" t="s">
        <v>2437</v>
      </c>
      <c r="J229" t="s">
        <v>2452</v>
      </c>
      <c r="K229" t="s">
        <v>2572</v>
      </c>
      <c r="M229" t="s">
        <v>2617</v>
      </c>
    </row>
    <row r="230" spans="1:14">
      <c r="A230" s="1">
        <f>HYPERLINK("https://lsnyc.legalserver.org/matter/dynamic-profile/view/1908981","19-1908981")</f>
        <v>0</v>
      </c>
      <c r="B230" t="s">
        <v>19</v>
      </c>
      <c r="C230" t="s">
        <v>38</v>
      </c>
      <c r="D230" t="s">
        <v>298</v>
      </c>
      <c r="E230" t="s">
        <v>2390</v>
      </c>
      <c r="F230" t="s">
        <v>2437</v>
      </c>
      <c r="J230" t="s">
        <v>2457</v>
      </c>
      <c r="K230" t="s">
        <v>2583</v>
      </c>
      <c r="L230" t="s">
        <v>2600</v>
      </c>
      <c r="M230" t="s">
        <v>2619</v>
      </c>
      <c r="N230" t="s">
        <v>2648</v>
      </c>
    </row>
    <row r="231" spans="1:14">
      <c r="A231" s="1">
        <f>HYPERLINK("https://lsnyc.legalserver.org/matter/dynamic-profile/view/1909075","19-1909075")</f>
        <v>0</v>
      </c>
      <c r="B231" t="s">
        <v>19</v>
      </c>
      <c r="C231" t="s">
        <v>50</v>
      </c>
      <c r="D231" t="s">
        <v>299</v>
      </c>
      <c r="E231" t="s">
        <v>2374</v>
      </c>
      <c r="F231" t="s">
        <v>2438</v>
      </c>
      <c r="J231" t="s">
        <v>2450</v>
      </c>
      <c r="K231" t="s">
        <v>2569</v>
      </c>
      <c r="M231" t="s">
        <v>2616</v>
      </c>
      <c r="N231" t="s">
        <v>2649</v>
      </c>
    </row>
    <row r="232" spans="1:14">
      <c r="A232" s="1">
        <f>HYPERLINK("https://lsnyc.legalserver.org/matter/dynamic-profile/view/1908876","19-1908876")</f>
        <v>0</v>
      </c>
      <c r="B232" t="s">
        <v>15</v>
      </c>
      <c r="C232" t="s">
        <v>22</v>
      </c>
      <c r="D232" t="s">
        <v>300</v>
      </c>
      <c r="E232" t="s">
        <v>2370</v>
      </c>
      <c r="F232" t="s">
        <v>2437</v>
      </c>
      <c r="J232" t="s">
        <v>2452</v>
      </c>
      <c r="K232" t="s">
        <v>2572</v>
      </c>
      <c r="M232" t="s">
        <v>2638</v>
      </c>
    </row>
    <row r="233" spans="1:14">
      <c r="A233" s="1">
        <f>HYPERLINK("https://lsnyc.legalserver.org/matter/dynamic-profile/view/1909797","19-1909797")</f>
        <v>0</v>
      </c>
      <c r="B233" t="s">
        <v>15</v>
      </c>
      <c r="C233" t="s">
        <v>32</v>
      </c>
      <c r="D233" t="s">
        <v>301</v>
      </c>
      <c r="E233" t="s">
        <v>2374</v>
      </c>
      <c r="F233" t="s">
        <v>2438</v>
      </c>
      <c r="G233" t="s">
        <v>2444</v>
      </c>
      <c r="J233" t="s">
        <v>2450</v>
      </c>
      <c r="K233" t="s">
        <v>2569</v>
      </c>
      <c r="M233" t="s">
        <v>2616</v>
      </c>
    </row>
    <row r="234" spans="1:14">
      <c r="A234" s="1">
        <f>HYPERLINK("https://lsnyc.legalserver.org/matter/dynamic-profile/view/1908671","19-1908671")</f>
        <v>0</v>
      </c>
      <c r="B234" t="s">
        <v>16</v>
      </c>
      <c r="C234" t="s">
        <v>24</v>
      </c>
      <c r="D234" t="s">
        <v>302</v>
      </c>
      <c r="F234" t="s">
        <v>2436</v>
      </c>
      <c r="J234" t="s">
        <v>2448</v>
      </c>
      <c r="K234" t="s">
        <v>2569</v>
      </c>
      <c r="L234" t="s">
        <v>2601</v>
      </c>
      <c r="M234" t="s">
        <v>2631</v>
      </c>
    </row>
    <row r="235" spans="1:14">
      <c r="A235" s="1">
        <f>HYPERLINK("https://lsnyc.legalserver.org/matter/dynamic-profile/view/1908694","19-1908694")</f>
        <v>0</v>
      </c>
      <c r="B235" t="s">
        <v>14</v>
      </c>
      <c r="C235" t="s">
        <v>26</v>
      </c>
      <c r="D235" t="s">
        <v>303</v>
      </c>
      <c r="E235" t="s">
        <v>2376</v>
      </c>
      <c r="F235" t="s">
        <v>2437</v>
      </c>
      <c r="J235" t="s">
        <v>2449</v>
      </c>
      <c r="K235" t="s">
        <v>2569</v>
      </c>
      <c r="M235" t="s">
        <v>2618</v>
      </c>
    </row>
    <row r="236" spans="1:14">
      <c r="A236" s="1">
        <f>HYPERLINK("https://lsnyc.legalserver.org/matter/dynamic-profile/view/1908701","19-1908701")</f>
        <v>0</v>
      </c>
      <c r="B236" t="s">
        <v>16</v>
      </c>
      <c r="C236" t="s">
        <v>46</v>
      </c>
      <c r="D236" t="s">
        <v>304</v>
      </c>
      <c r="F236" t="s">
        <v>2437</v>
      </c>
      <c r="J236" t="s">
        <v>2485</v>
      </c>
      <c r="K236" t="s">
        <v>2572</v>
      </c>
      <c r="M236" t="s">
        <v>2614</v>
      </c>
    </row>
    <row r="237" spans="1:14">
      <c r="A237" s="1">
        <f>HYPERLINK("https://lsnyc.legalserver.org/matter/dynamic-profile/view/1908725","19-1908725")</f>
        <v>0</v>
      </c>
      <c r="B237" t="s">
        <v>18</v>
      </c>
      <c r="C237" t="s">
        <v>45</v>
      </c>
      <c r="D237" t="s">
        <v>305</v>
      </c>
      <c r="G237" t="s">
        <v>2444</v>
      </c>
      <c r="J237" t="s">
        <v>2447</v>
      </c>
      <c r="K237" t="s">
        <v>2569</v>
      </c>
      <c r="M237" t="s">
        <v>2614</v>
      </c>
    </row>
    <row r="238" spans="1:14">
      <c r="A238" s="1">
        <f>HYPERLINK("https://lsnyc.legalserver.org/matter/dynamic-profile/view/1909694","19-1909694")</f>
        <v>0</v>
      </c>
      <c r="B238" t="s">
        <v>15</v>
      </c>
      <c r="C238" t="s">
        <v>32</v>
      </c>
      <c r="D238" t="s">
        <v>306</v>
      </c>
      <c r="E238" t="s">
        <v>2374</v>
      </c>
      <c r="F238" t="s">
        <v>2438</v>
      </c>
      <c r="J238" t="s">
        <v>2449</v>
      </c>
      <c r="K238" t="s">
        <v>2569</v>
      </c>
      <c r="M238" t="s">
        <v>2626</v>
      </c>
      <c r="N238" t="s">
        <v>2649</v>
      </c>
    </row>
    <row r="239" spans="1:14">
      <c r="A239" s="1">
        <f>HYPERLINK("https://lsnyc.legalserver.org/matter/dynamic-profile/view/1908628","19-1908628")</f>
        <v>0</v>
      </c>
      <c r="B239" t="s">
        <v>15</v>
      </c>
      <c r="C239" t="s">
        <v>37</v>
      </c>
      <c r="D239" t="s">
        <v>307</v>
      </c>
      <c r="E239" t="s">
        <v>2376</v>
      </c>
      <c r="F239" t="s">
        <v>2437</v>
      </c>
      <c r="J239" t="s">
        <v>2486</v>
      </c>
      <c r="K239" t="s">
        <v>2577</v>
      </c>
      <c r="L239" t="s">
        <v>2600</v>
      </c>
      <c r="M239" t="s">
        <v>2618</v>
      </c>
      <c r="N239" t="s">
        <v>2648</v>
      </c>
    </row>
    <row r="240" spans="1:14">
      <c r="A240" s="1">
        <f>HYPERLINK("https://lsnyc.legalserver.org/matter/dynamic-profile/view/1908644","19-1908644")</f>
        <v>0</v>
      </c>
      <c r="B240" t="s">
        <v>16</v>
      </c>
      <c r="C240" t="s">
        <v>24</v>
      </c>
      <c r="D240" t="s">
        <v>308</v>
      </c>
      <c r="F240" t="s">
        <v>2436</v>
      </c>
      <c r="J240" t="s">
        <v>2487</v>
      </c>
      <c r="K240" t="s">
        <v>2572</v>
      </c>
      <c r="M240" t="s">
        <v>2436</v>
      </c>
    </row>
    <row r="241" spans="1:14">
      <c r="A241" s="1">
        <f>HYPERLINK("https://lsnyc.legalserver.org/matter/dynamic-profile/view/1909558","19-1909558")</f>
        <v>0</v>
      </c>
      <c r="B241" t="s">
        <v>15</v>
      </c>
      <c r="C241" t="s">
        <v>22</v>
      </c>
      <c r="D241" t="s">
        <v>283</v>
      </c>
      <c r="E241" t="s">
        <v>2374</v>
      </c>
      <c r="F241" t="s">
        <v>2439</v>
      </c>
      <c r="J241" t="s">
        <v>2465</v>
      </c>
      <c r="K241" t="s">
        <v>2569</v>
      </c>
      <c r="M241" t="s">
        <v>2631</v>
      </c>
    </row>
    <row r="242" spans="1:14">
      <c r="A242" s="1">
        <f>HYPERLINK("https://lsnyc.legalserver.org/matter/dynamic-profile/view/1908527","19-1908527")</f>
        <v>0</v>
      </c>
      <c r="B242" t="s">
        <v>16</v>
      </c>
      <c r="C242" t="s">
        <v>41</v>
      </c>
      <c r="D242" t="s">
        <v>309</v>
      </c>
      <c r="F242" t="s">
        <v>2436</v>
      </c>
      <c r="J242" t="s">
        <v>2448</v>
      </c>
      <c r="K242" t="s">
        <v>2569</v>
      </c>
      <c r="L242" t="s">
        <v>2601</v>
      </c>
      <c r="M242" t="s">
        <v>2631</v>
      </c>
    </row>
    <row r="243" spans="1:14">
      <c r="A243" s="1">
        <f>HYPERLINK("https://lsnyc.legalserver.org/matter/dynamic-profile/view/1908492","19-1908492")</f>
        <v>0</v>
      </c>
      <c r="B243" t="s">
        <v>16</v>
      </c>
      <c r="C243" t="s">
        <v>24</v>
      </c>
      <c r="D243" t="s">
        <v>310</v>
      </c>
      <c r="F243" t="s">
        <v>2436</v>
      </c>
      <c r="J243" t="s">
        <v>2471</v>
      </c>
      <c r="K243" t="s">
        <v>2571</v>
      </c>
      <c r="M243" t="s">
        <v>2436</v>
      </c>
    </row>
    <row r="244" spans="1:14">
      <c r="A244" s="1">
        <f>HYPERLINK("https://lsnyc.legalserver.org/matter/dynamic-profile/view/1908494","19-1908494")</f>
        <v>0</v>
      </c>
      <c r="B244" t="s">
        <v>14</v>
      </c>
      <c r="C244" t="s">
        <v>21</v>
      </c>
      <c r="D244" t="s">
        <v>311</v>
      </c>
      <c r="E244" t="s">
        <v>2376</v>
      </c>
      <c r="G244" t="s">
        <v>2444</v>
      </c>
      <c r="K244" t="s">
        <v>2569</v>
      </c>
      <c r="M244" t="s">
        <v>2618</v>
      </c>
    </row>
    <row r="245" spans="1:14">
      <c r="A245" s="1">
        <f>HYPERLINK("https://lsnyc.legalserver.org/matter/dynamic-profile/view/1908500","19-1908500")</f>
        <v>0</v>
      </c>
      <c r="B245" t="s">
        <v>16</v>
      </c>
      <c r="C245" t="s">
        <v>24</v>
      </c>
      <c r="D245" t="s">
        <v>312</v>
      </c>
      <c r="E245" t="s">
        <v>2390</v>
      </c>
      <c r="F245" t="s">
        <v>2439</v>
      </c>
      <c r="J245" t="s">
        <v>2450</v>
      </c>
      <c r="K245" t="s">
        <v>2569</v>
      </c>
      <c r="M245" t="s">
        <v>2631</v>
      </c>
    </row>
    <row r="246" spans="1:14">
      <c r="A246" s="1">
        <f>HYPERLINK("https://lsnyc.legalserver.org/matter/dynamic-profile/view/1908542","19-1908542")</f>
        <v>0</v>
      </c>
      <c r="B246" t="s">
        <v>14</v>
      </c>
      <c r="C246" t="s">
        <v>21</v>
      </c>
      <c r="D246" t="s">
        <v>93</v>
      </c>
      <c r="E246" t="s">
        <v>2385</v>
      </c>
      <c r="F246" t="s">
        <v>2438</v>
      </c>
      <c r="G246" t="s">
        <v>2444</v>
      </c>
      <c r="J246" t="s">
        <v>2488</v>
      </c>
      <c r="K246" t="s">
        <v>2569</v>
      </c>
      <c r="L246" t="s">
        <v>2600</v>
      </c>
      <c r="M246" t="s">
        <v>2616</v>
      </c>
      <c r="N246" t="s">
        <v>2648</v>
      </c>
    </row>
    <row r="247" spans="1:14">
      <c r="A247" s="1">
        <f>HYPERLINK("https://lsnyc.legalserver.org/matter/dynamic-profile/view/1908581","19-1908581")</f>
        <v>0</v>
      </c>
      <c r="B247" t="s">
        <v>15</v>
      </c>
      <c r="C247" t="s">
        <v>22</v>
      </c>
      <c r="D247" t="s">
        <v>313</v>
      </c>
      <c r="E247" t="s">
        <v>2391</v>
      </c>
      <c r="F247" t="s">
        <v>2437</v>
      </c>
      <c r="J247" t="s">
        <v>2450</v>
      </c>
      <c r="K247" t="s">
        <v>2569</v>
      </c>
      <c r="M247" t="s">
        <v>2615</v>
      </c>
    </row>
    <row r="248" spans="1:14">
      <c r="A248" s="1">
        <f>HYPERLINK("https://lsnyc.legalserver.org/matter/dynamic-profile/view/1908582","19-1908582")</f>
        <v>0</v>
      </c>
      <c r="B248" t="s">
        <v>15</v>
      </c>
      <c r="C248" t="s">
        <v>22</v>
      </c>
      <c r="D248" t="s">
        <v>313</v>
      </c>
      <c r="E248" t="s">
        <v>2403</v>
      </c>
      <c r="F248" t="s">
        <v>2441</v>
      </c>
      <c r="J248" t="s">
        <v>2450</v>
      </c>
      <c r="K248" t="s">
        <v>2569</v>
      </c>
      <c r="M248" t="s">
        <v>2639</v>
      </c>
      <c r="N248" t="s">
        <v>2649</v>
      </c>
    </row>
    <row r="249" spans="1:14">
      <c r="A249" s="1">
        <f>HYPERLINK("https://lsnyc.legalserver.org/matter/dynamic-profile/view/1908315","19-1908315")</f>
        <v>0</v>
      </c>
      <c r="B249" t="s">
        <v>14</v>
      </c>
      <c r="C249" t="s">
        <v>26</v>
      </c>
      <c r="D249" t="s">
        <v>314</v>
      </c>
      <c r="E249" t="s">
        <v>2376</v>
      </c>
      <c r="F249" t="s">
        <v>2437</v>
      </c>
      <c r="J249" t="s">
        <v>2450</v>
      </c>
      <c r="K249" t="s">
        <v>2569</v>
      </c>
      <c r="M249" t="s">
        <v>2618</v>
      </c>
      <c r="N249" t="s">
        <v>2649</v>
      </c>
    </row>
    <row r="250" spans="1:14">
      <c r="A250" s="1">
        <f>HYPERLINK("https://lsnyc.legalserver.org/matter/dynamic-profile/view/1908381","19-1908381")</f>
        <v>0</v>
      </c>
      <c r="B250" t="s">
        <v>15</v>
      </c>
      <c r="C250" t="s">
        <v>22</v>
      </c>
      <c r="D250" t="s">
        <v>315</v>
      </c>
      <c r="E250" t="s">
        <v>2374</v>
      </c>
      <c r="F250" t="s">
        <v>2438</v>
      </c>
      <c r="J250" t="s">
        <v>2457</v>
      </c>
      <c r="K250" t="s">
        <v>2569</v>
      </c>
      <c r="M250" t="s">
        <v>2616</v>
      </c>
    </row>
    <row r="251" spans="1:14">
      <c r="A251" s="1">
        <f>HYPERLINK("https://lsnyc.legalserver.org/matter/dynamic-profile/view/1908268","19-1908268")</f>
        <v>0</v>
      </c>
      <c r="B251" t="s">
        <v>14</v>
      </c>
      <c r="C251" t="s">
        <v>20</v>
      </c>
      <c r="D251" t="s">
        <v>316</v>
      </c>
      <c r="E251" t="s">
        <v>2387</v>
      </c>
      <c r="F251" t="s">
        <v>2437</v>
      </c>
      <c r="G251" t="s">
        <v>2444</v>
      </c>
      <c r="J251" t="s">
        <v>2450</v>
      </c>
      <c r="K251" t="s">
        <v>2569</v>
      </c>
      <c r="M251" t="s">
        <v>2629</v>
      </c>
      <c r="N251" t="s">
        <v>2648</v>
      </c>
    </row>
    <row r="252" spans="1:14">
      <c r="A252" s="1">
        <f>HYPERLINK("https://lsnyc.legalserver.org/matter/dynamic-profile/view/1908304","19-1908304")</f>
        <v>0</v>
      </c>
      <c r="B252" t="s">
        <v>16</v>
      </c>
      <c r="C252" t="s">
        <v>24</v>
      </c>
      <c r="D252" t="s">
        <v>317</v>
      </c>
      <c r="F252" t="s">
        <v>2436</v>
      </c>
      <c r="J252" t="s">
        <v>2448</v>
      </c>
      <c r="K252" t="s">
        <v>2572</v>
      </c>
      <c r="M252" t="s">
        <v>2436</v>
      </c>
    </row>
    <row r="253" spans="1:14">
      <c r="A253" s="1">
        <f>HYPERLINK("https://lsnyc.legalserver.org/matter/dynamic-profile/view/1908310","19-1908310")</f>
        <v>0</v>
      </c>
      <c r="B253" t="s">
        <v>16</v>
      </c>
      <c r="C253" t="s">
        <v>41</v>
      </c>
      <c r="D253" t="s">
        <v>318</v>
      </c>
      <c r="F253" t="s">
        <v>2436</v>
      </c>
      <c r="J253" t="s">
        <v>2448</v>
      </c>
      <c r="K253" t="s">
        <v>2569</v>
      </c>
      <c r="M253" t="s">
        <v>2436</v>
      </c>
    </row>
    <row r="254" spans="1:14">
      <c r="A254" s="1">
        <f>HYPERLINK("https://lsnyc.legalserver.org/matter/dynamic-profile/view/1908320","19-1908320")</f>
        <v>0</v>
      </c>
      <c r="B254" t="s">
        <v>16</v>
      </c>
      <c r="C254" t="s">
        <v>46</v>
      </c>
      <c r="D254" t="s">
        <v>319</v>
      </c>
      <c r="E254" t="s">
        <v>2390</v>
      </c>
      <c r="F254" t="s">
        <v>2437</v>
      </c>
      <c r="J254" t="s">
        <v>2448</v>
      </c>
      <c r="K254" t="s">
        <v>2569</v>
      </c>
      <c r="M254" t="s">
        <v>2619</v>
      </c>
    </row>
    <row r="255" spans="1:14">
      <c r="A255" s="1">
        <f>HYPERLINK("https://lsnyc.legalserver.org/matter/dynamic-profile/view/1908327","19-1908327")</f>
        <v>0</v>
      </c>
      <c r="B255" t="s">
        <v>16</v>
      </c>
      <c r="C255" t="s">
        <v>46</v>
      </c>
      <c r="D255" t="s">
        <v>320</v>
      </c>
      <c r="F255" t="s">
        <v>2437</v>
      </c>
      <c r="J255" t="s">
        <v>2448</v>
      </c>
      <c r="K255" t="s">
        <v>2569</v>
      </c>
      <c r="M255" t="s">
        <v>2614</v>
      </c>
    </row>
    <row r="256" spans="1:14">
      <c r="A256" s="1">
        <f>HYPERLINK("https://lsnyc.legalserver.org/matter/dynamic-profile/view/1908332","19-1908332")</f>
        <v>0</v>
      </c>
      <c r="B256" t="s">
        <v>18</v>
      </c>
      <c r="C256" t="s">
        <v>35</v>
      </c>
      <c r="D256" t="s">
        <v>321</v>
      </c>
      <c r="E256" t="s">
        <v>2404</v>
      </c>
      <c r="F256" t="s">
        <v>2441</v>
      </c>
      <c r="J256" t="s">
        <v>2452</v>
      </c>
      <c r="K256" t="s">
        <v>2572</v>
      </c>
      <c r="M256" t="s">
        <v>2640</v>
      </c>
    </row>
    <row r="257" spans="1:14">
      <c r="A257" s="1">
        <f>HYPERLINK("https://lsnyc.legalserver.org/matter/dynamic-profile/view/1908124","19-1908124")</f>
        <v>0</v>
      </c>
      <c r="B257" t="s">
        <v>15</v>
      </c>
      <c r="C257" t="s">
        <v>49</v>
      </c>
      <c r="D257" t="s">
        <v>322</v>
      </c>
      <c r="E257" t="s">
        <v>2390</v>
      </c>
      <c r="F257" t="s">
        <v>2437</v>
      </c>
      <c r="J257" t="s">
        <v>2489</v>
      </c>
      <c r="K257" t="s">
        <v>2572</v>
      </c>
      <c r="M257" t="s">
        <v>2619</v>
      </c>
    </row>
    <row r="258" spans="1:14">
      <c r="A258" s="1">
        <f>HYPERLINK("https://lsnyc.legalserver.org/matter/dynamic-profile/view/1908139","19-1908139")</f>
        <v>0</v>
      </c>
      <c r="B258" t="s">
        <v>16</v>
      </c>
      <c r="C258" t="s">
        <v>46</v>
      </c>
      <c r="D258" t="s">
        <v>323</v>
      </c>
      <c r="E258" t="s">
        <v>2375</v>
      </c>
      <c r="F258" t="s">
        <v>2437</v>
      </c>
      <c r="J258" t="s">
        <v>2483</v>
      </c>
      <c r="K258" t="s">
        <v>2571</v>
      </c>
      <c r="M258" t="s">
        <v>2617</v>
      </c>
    </row>
    <row r="259" spans="1:14">
      <c r="A259" s="1">
        <f>HYPERLINK("https://lsnyc.legalserver.org/matter/dynamic-profile/view/1908155","19-1908155")</f>
        <v>0</v>
      </c>
      <c r="B259" t="s">
        <v>18</v>
      </c>
      <c r="C259" t="s">
        <v>53</v>
      </c>
      <c r="D259" t="s">
        <v>324</v>
      </c>
      <c r="E259" t="s">
        <v>2374</v>
      </c>
      <c r="J259" t="s">
        <v>2450</v>
      </c>
      <c r="K259" t="s">
        <v>2569</v>
      </c>
      <c r="M259" t="s">
        <v>2616</v>
      </c>
    </row>
    <row r="260" spans="1:14">
      <c r="A260" s="1">
        <f>HYPERLINK("https://lsnyc.legalserver.org/matter/dynamic-profile/view/1908167","19-1908167")</f>
        <v>0</v>
      </c>
      <c r="B260" t="s">
        <v>16</v>
      </c>
      <c r="C260" t="s">
        <v>46</v>
      </c>
      <c r="D260" t="s">
        <v>325</v>
      </c>
      <c r="E260" t="s">
        <v>2375</v>
      </c>
      <c r="F260" t="s">
        <v>2437</v>
      </c>
      <c r="J260" t="s">
        <v>2483</v>
      </c>
      <c r="K260" t="s">
        <v>2571</v>
      </c>
      <c r="M260" t="s">
        <v>2617</v>
      </c>
    </row>
    <row r="261" spans="1:14">
      <c r="A261" s="1">
        <f>HYPERLINK("https://lsnyc.legalserver.org/matter/dynamic-profile/view/1908221","19-1908221")</f>
        <v>0</v>
      </c>
      <c r="B261" t="s">
        <v>16</v>
      </c>
      <c r="C261" t="s">
        <v>46</v>
      </c>
      <c r="D261" t="s">
        <v>326</v>
      </c>
      <c r="E261" t="s">
        <v>2390</v>
      </c>
      <c r="F261" t="s">
        <v>2437</v>
      </c>
      <c r="J261" t="s">
        <v>2490</v>
      </c>
      <c r="K261" t="s">
        <v>2572</v>
      </c>
      <c r="M261" t="s">
        <v>2626</v>
      </c>
    </row>
    <row r="262" spans="1:14">
      <c r="A262" s="1">
        <f>HYPERLINK("https://lsnyc.legalserver.org/matter/dynamic-profile/view/1906968","19-1906968")</f>
        <v>0</v>
      </c>
      <c r="B262" t="s">
        <v>18</v>
      </c>
      <c r="C262" t="s">
        <v>35</v>
      </c>
      <c r="D262" t="s">
        <v>327</v>
      </c>
      <c r="E262" t="s">
        <v>2374</v>
      </c>
      <c r="F262" t="s">
        <v>2436</v>
      </c>
      <c r="G262" t="s">
        <v>2444</v>
      </c>
      <c r="J262" t="s">
        <v>2491</v>
      </c>
      <c r="K262" t="s">
        <v>2572</v>
      </c>
      <c r="M262" t="s">
        <v>2436</v>
      </c>
    </row>
    <row r="263" spans="1:14">
      <c r="A263" s="1">
        <f>HYPERLINK("https://lsnyc.legalserver.org/matter/dynamic-profile/view/1907940","19-1907940")</f>
        <v>0</v>
      </c>
      <c r="B263" t="s">
        <v>14</v>
      </c>
      <c r="C263" t="s">
        <v>26</v>
      </c>
      <c r="D263" t="s">
        <v>328</v>
      </c>
      <c r="E263" t="s">
        <v>2376</v>
      </c>
      <c r="F263" t="s">
        <v>2437</v>
      </c>
      <c r="J263" t="s">
        <v>2449</v>
      </c>
      <c r="K263" t="s">
        <v>2569</v>
      </c>
      <c r="M263" t="s">
        <v>2618</v>
      </c>
      <c r="N263" t="s">
        <v>2649</v>
      </c>
    </row>
    <row r="264" spans="1:14">
      <c r="A264" s="1">
        <f>HYPERLINK("https://lsnyc.legalserver.org/matter/dynamic-profile/view/1908062","19-1908062")</f>
        <v>0</v>
      </c>
      <c r="B264" t="s">
        <v>15</v>
      </c>
      <c r="C264" t="s">
        <v>22</v>
      </c>
      <c r="D264" t="s">
        <v>235</v>
      </c>
      <c r="E264" t="s">
        <v>2374</v>
      </c>
      <c r="F264" t="s">
        <v>2438</v>
      </c>
      <c r="J264" t="s">
        <v>2460</v>
      </c>
      <c r="K264" t="s">
        <v>2581</v>
      </c>
      <c r="M264" t="s">
        <v>2616</v>
      </c>
    </row>
    <row r="265" spans="1:14">
      <c r="A265" s="1">
        <f>HYPERLINK("https://lsnyc.legalserver.org/matter/dynamic-profile/view/1908584","19-1908584")</f>
        <v>0</v>
      </c>
      <c r="B265" t="s">
        <v>15</v>
      </c>
      <c r="C265" t="s">
        <v>30</v>
      </c>
      <c r="D265" t="s">
        <v>329</v>
      </c>
      <c r="E265" t="s">
        <v>2394</v>
      </c>
      <c r="F265" t="s">
        <v>2437</v>
      </c>
      <c r="J265" t="s">
        <v>2488</v>
      </c>
      <c r="K265" t="s">
        <v>2569</v>
      </c>
      <c r="M265" t="s">
        <v>2627</v>
      </c>
    </row>
    <row r="266" spans="1:14">
      <c r="A266" s="1">
        <f>HYPERLINK("https://lsnyc.legalserver.org/matter/dynamic-profile/view/1907941","19-1907941")</f>
        <v>0</v>
      </c>
      <c r="B266" t="s">
        <v>19</v>
      </c>
      <c r="C266" t="s">
        <v>38</v>
      </c>
      <c r="D266" t="s">
        <v>330</v>
      </c>
      <c r="E266" t="s">
        <v>2394</v>
      </c>
      <c r="F266" t="s">
        <v>2437</v>
      </c>
      <c r="J266" t="s">
        <v>2452</v>
      </c>
      <c r="L266" t="s">
        <v>2600</v>
      </c>
      <c r="M266" t="s">
        <v>2627</v>
      </c>
      <c r="N266" t="s">
        <v>2648</v>
      </c>
    </row>
    <row r="267" spans="1:14">
      <c r="A267" s="1">
        <f>HYPERLINK("https://lsnyc.legalserver.org/matter/dynamic-profile/view/1907971","19-1907971")</f>
        <v>0</v>
      </c>
      <c r="B267" t="s">
        <v>16</v>
      </c>
      <c r="C267" t="s">
        <v>23</v>
      </c>
      <c r="D267" t="s">
        <v>331</v>
      </c>
      <c r="E267" t="s">
        <v>2390</v>
      </c>
      <c r="F267" t="s">
        <v>2437</v>
      </c>
      <c r="J267" t="s">
        <v>2467</v>
      </c>
      <c r="K267" t="s">
        <v>2572</v>
      </c>
      <c r="M267" t="s">
        <v>2626</v>
      </c>
    </row>
    <row r="268" spans="1:14">
      <c r="A268" s="1">
        <f>HYPERLINK("https://lsnyc.legalserver.org/matter/dynamic-profile/view/1907998","19-1907998")</f>
        <v>0</v>
      </c>
      <c r="B268" t="s">
        <v>15</v>
      </c>
      <c r="C268" t="s">
        <v>30</v>
      </c>
      <c r="D268" t="s">
        <v>332</v>
      </c>
      <c r="E268" t="s">
        <v>2385</v>
      </c>
      <c r="F268" t="s">
        <v>2438</v>
      </c>
      <c r="J268" t="s">
        <v>2450</v>
      </c>
      <c r="K268" t="s">
        <v>2569</v>
      </c>
      <c r="M268" t="s">
        <v>2616</v>
      </c>
    </row>
    <row r="269" spans="1:14">
      <c r="A269" s="1">
        <f>HYPERLINK("https://lsnyc.legalserver.org/matter/dynamic-profile/view/1908000","19-1908000")</f>
        <v>0</v>
      </c>
      <c r="B269" t="s">
        <v>16</v>
      </c>
      <c r="C269" t="s">
        <v>46</v>
      </c>
      <c r="D269" t="s">
        <v>333</v>
      </c>
      <c r="E269" t="s">
        <v>2390</v>
      </c>
      <c r="F269" t="s">
        <v>2437</v>
      </c>
      <c r="J269" t="s">
        <v>2452</v>
      </c>
      <c r="K269" t="s">
        <v>2572</v>
      </c>
      <c r="M269" t="s">
        <v>2619</v>
      </c>
    </row>
    <row r="270" spans="1:14">
      <c r="A270" s="1">
        <f>HYPERLINK("https://lsnyc.legalserver.org/matter/dynamic-profile/view/1908009","19-1908009")</f>
        <v>0</v>
      </c>
      <c r="B270" t="s">
        <v>19</v>
      </c>
      <c r="C270" t="s">
        <v>54</v>
      </c>
      <c r="D270" t="s">
        <v>334</v>
      </c>
      <c r="E270" t="s">
        <v>2374</v>
      </c>
      <c r="F270" t="s">
        <v>2438</v>
      </c>
      <c r="J270" t="s">
        <v>2492</v>
      </c>
      <c r="K270" t="s">
        <v>2584</v>
      </c>
      <c r="M270" t="s">
        <v>2616</v>
      </c>
      <c r="N270" t="s">
        <v>2648</v>
      </c>
    </row>
    <row r="271" spans="1:14">
      <c r="A271" s="1">
        <f>HYPERLINK("https://lsnyc.legalserver.org/matter/dynamic-profile/view/1907906","19-1907906")</f>
        <v>0</v>
      </c>
      <c r="B271" t="s">
        <v>15</v>
      </c>
      <c r="C271" t="s">
        <v>22</v>
      </c>
      <c r="D271" t="s">
        <v>335</v>
      </c>
      <c r="E271" t="s">
        <v>2374</v>
      </c>
      <c r="F271" t="s">
        <v>2438</v>
      </c>
      <c r="H271" t="s">
        <v>2445</v>
      </c>
      <c r="J271" t="s">
        <v>2452</v>
      </c>
      <c r="K271" t="s">
        <v>2572</v>
      </c>
      <c r="L271" t="s">
        <v>2602</v>
      </c>
      <c r="M271" t="s">
        <v>2631</v>
      </c>
    </row>
    <row r="272" spans="1:14">
      <c r="A272" s="1">
        <f>HYPERLINK("https://lsnyc.legalserver.org/matter/dynamic-profile/view/1907908","19-1907908")</f>
        <v>0</v>
      </c>
      <c r="B272" t="s">
        <v>15</v>
      </c>
      <c r="C272" t="s">
        <v>22</v>
      </c>
      <c r="D272" t="s">
        <v>336</v>
      </c>
      <c r="E272" t="s">
        <v>2374</v>
      </c>
      <c r="F272" t="s">
        <v>2438</v>
      </c>
      <c r="H272" t="s">
        <v>2445</v>
      </c>
      <c r="J272" t="s">
        <v>2452</v>
      </c>
      <c r="K272" t="s">
        <v>2572</v>
      </c>
      <c r="L272" t="s">
        <v>2601</v>
      </c>
      <c r="M272" t="s">
        <v>2631</v>
      </c>
    </row>
    <row r="273" spans="1:14">
      <c r="A273" s="1">
        <f>HYPERLINK("https://lsnyc.legalserver.org/matter/dynamic-profile/view/1907817","19-1907817")</f>
        <v>0</v>
      </c>
      <c r="B273" t="s">
        <v>15</v>
      </c>
      <c r="C273" t="s">
        <v>39</v>
      </c>
      <c r="D273" t="s">
        <v>337</v>
      </c>
      <c r="E273" t="s">
        <v>2383</v>
      </c>
      <c r="F273" t="s">
        <v>2437</v>
      </c>
      <c r="J273" t="s">
        <v>2450</v>
      </c>
      <c r="K273" t="s">
        <v>2569</v>
      </c>
      <c r="M273" t="s">
        <v>2624</v>
      </c>
    </row>
    <row r="274" spans="1:14">
      <c r="A274" s="1">
        <f>HYPERLINK("https://lsnyc.legalserver.org/matter/dynamic-profile/view/1907827","19-1907827")</f>
        <v>0</v>
      </c>
      <c r="B274" t="s">
        <v>14</v>
      </c>
      <c r="C274" t="s">
        <v>26</v>
      </c>
      <c r="D274" t="s">
        <v>338</v>
      </c>
      <c r="E274" t="s">
        <v>2370</v>
      </c>
      <c r="F274" t="s">
        <v>2437</v>
      </c>
      <c r="J274" t="s">
        <v>2448</v>
      </c>
      <c r="K274" t="s">
        <v>2569</v>
      </c>
      <c r="M274" t="s">
        <v>2638</v>
      </c>
      <c r="N274" t="s">
        <v>2648</v>
      </c>
    </row>
    <row r="275" spans="1:14">
      <c r="A275" s="1">
        <f>HYPERLINK("https://lsnyc.legalserver.org/matter/dynamic-profile/view/1907830","19-1907830")</f>
        <v>0</v>
      </c>
      <c r="B275" t="s">
        <v>16</v>
      </c>
      <c r="C275" t="s">
        <v>46</v>
      </c>
      <c r="D275" t="s">
        <v>339</v>
      </c>
      <c r="E275" t="s">
        <v>2390</v>
      </c>
      <c r="F275" t="s">
        <v>2437</v>
      </c>
      <c r="J275" t="s">
        <v>2493</v>
      </c>
      <c r="K275" t="s">
        <v>2572</v>
      </c>
      <c r="M275" t="s">
        <v>2619</v>
      </c>
    </row>
    <row r="276" spans="1:14">
      <c r="A276" s="1">
        <f>HYPERLINK("https://lsnyc.legalserver.org/matter/dynamic-profile/view/1907904","19-1907904")</f>
        <v>0</v>
      </c>
      <c r="B276" t="s">
        <v>19</v>
      </c>
      <c r="C276" t="s">
        <v>47</v>
      </c>
      <c r="D276" t="s">
        <v>340</v>
      </c>
      <c r="E276" t="s">
        <v>2374</v>
      </c>
      <c r="F276" t="s">
        <v>2438</v>
      </c>
      <c r="J276" t="s">
        <v>2450</v>
      </c>
      <c r="M276" t="s">
        <v>2616</v>
      </c>
    </row>
    <row r="277" spans="1:14">
      <c r="A277" s="1">
        <f>HYPERLINK("https://lsnyc.legalserver.org/matter/dynamic-profile/view/1907753","19-1907753")</f>
        <v>0</v>
      </c>
      <c r="B277" t="s">
        <v>19</v>
      </c>
      <c r="C277" t="s">
        <v>38</v>
      </c>
      <c r="D277" t="s">
        <v>341</v>
      </c>
      <c r="E277" t="s">
        <v>2376</v>
      </c>
      <c r="F277" t="s">
        <v>2437</v>
      </c>
      <c r="J277" t="s">
        <v>2452</v>
      </c>
      <c r="L277" t="s">
        <v>2600</v>
      </c>
      <c r="M277" t="s">
        <v>2618</v>
      </c>
      <c r="N277" t="s">
        <v>2648</v>
      </c>
    </row>
    <row r="278" spans="1:14">
      <c r="A278" s="1">
        <f>HYPERLINK("https://lsnyc.legalserver.org/matter/dynamic-profile/view/1907788","19-1907788")</f>
        <v>0</v>
      </c>
      <c r="B278" t="s">
        <v>18</v>
      </c>
      <c r="C278" t="s">
        <v>35</v>
      </c>
      <c r="D278" t="s">
        <v>342</v>
      </c>
      <c r="E278" t="s">
        <v>2386</v>
      </c>
      <c r="F278" t="s">
        <v>2437</v>
      </c>
      <c r="J278" t="s">
        <v>2457</v>
      </c>
      <c r="K278" t="s">
        <v>2569</v>
      </c>
      <c r="L278" t="s">
        <v>2600</v>
      </c>
      <c r="M278" t="s">
        <v>2627</v>
      </c>
    </row>
    <row r="279" spans="1:14">
      <c r="A279" s="1">
        <f>HYPERLINK("https://lsnyc.legalserver.org/matter/dynamic-profile/view/1907427","19-1907427")</f>
        <v>0</v>
      </c>
      <c r="B279" t="s">
        <v>15</v>
      </c>
      <c r="C279" t="s">
        <v>52</v>
      </c>
      <c r="D279" t="s">
        <v>343</v>
      </c>
      <c r="E279" t="s">
        <v>2374</v>
      </c>
      <c r="F279" t="s">
        <v>2439</v>
      </c>
      <c r="K279" t="s">
        <v>2569</v>
      </c>
      <c r="M279" t="s">
        <v>2631</v>
      </c>
    </row>
    <row r="280" spans="1:14">
      <c r="A280" s="1">
        <f>HYPERLINK("https://lsnyc.legalserver.org/matter/dynamic-profile/view/1907653","19-1907653")</f>
        <v>0</v>
      </c>
      <c r="B280" t="s">
        <v>16</v>
      </c>
      <c r="C280" t="s">
        <v>41</v>
      </c>
      <c r="D280" t="s">
        <v>344</v>
      </c>
      <c r="F280" t="s">
        <v>2436</v>
      </c>
      <c r="J280" t="s">
        <v>2494</v>
      </c>
      <c r="K280" t="s">
        <v>2571</v>
      </c>
      <c r="M280" t="s">
        <v>2436</v>
      </c>
    </row>
    <row r="281" spans="1:14">
      <c r="A281" s="1">
        <f>HYPERLINK("https://lsnyc.legalserver.org/matter/dynamic-profile/view/1907704","19-1907704")</f>
        <v>0</v>
      </c>
      <c r="B281" t="s">
        <v>19</v>
      </c>
      <c r="C281" t="s">
        <v>38</v>
      </c>
      <c r="D281" t="s">
        <v>341</v>
      </c>
      <c r="E281" t="s">
        <v>2394</v>
      </c>
      <c r="F281" t="s">
        <v>2437</v>
      </c>
      <c r="J281" t="s">
        <v>2452</v>
      </c>
      <c r="L281" t="s">
        <v>2600</v>
      </c>
      <c r="M281" t="s">
        <v>2627</v>
      </c>
    </row>
    <row r="282" spans="1:14">
      <c r="A282" s="1">
        <f>HYPERLINK("https://lsnyc.legalserver.org/matter/dynamic-profile/view/1907713","19-1907713")</f>
        <v>0</v>
      </c>
      <c r="B282" t="s">
        <v>19</v>
      </c>
      <c r="C282" t="s">
        <v>38</v>
      </c>
      <c r="D282" t="s">
        <v>341</v>
      </c>
      <c r="E282" t="s">
        <v>2383</v>
      </c>
      <c r="F282" t="s">
        <v>2437</v>
      </c>
      <c r="J282" t="s">
        <v>2452</v>
      </c>
      <c r="L282" t="s">
        <v>2600</v>
      </c>
      <c r="M282" t="s">
        <v>2624</v>
      </c>
    </row>
    <row r="283" spans="1:14">
      <c r="A283" s="1">
        <f>HYPERLINK("https://lsnyc.legalserver.org/matter/dynamic-profile/view/1907431","19-1907431")</f>
        <v>0</v>
      </c>
      <c r="B283" t="s">
        <v>16</v>
      </c>
      <c r="C283" t="s">
        <v>46</v>
      </c>
      <c r="D283" t="s">
        <v>345</v>
      </c>
      <c r="E283" t="s">
        <v>2375</v>
      </c>
      <c r="F283" t="s">
        <v>2437</v>
      </c>
      <c r="J283" t="s">
        <v>2481</v>
      </c>
      <c r="K283" t="s">
        <v>2572</v>
      </c>
      <c r="M283" t="s">
        <v>2617</v>
      </c>
    </row>
    <row r="284" spans="1:14">
      <c r="A284" s="1">
        <f>HYPERLINK("https://lsnyc.legalserver.org/matter/dynamic-profile/view/1907441","19-1907441")</f>
        <v>0</v>
      </c>
      <c r="B284" t="s">
        <v>14</v>
      </c>
      <c r="C284" t="s">
        <v>21</v>
      </c>
      <c r="D284" t="s">
        <v>346</v>
      </c>
      <c r="E284" t="s">
        <v>2376</v>
      </c>
      <c r="F284" t="s">
        <v>2437</v>
      </c>
      <c r="J284" t="s">
        <v>2450</v>
      </c>
      <c r="K284" t="s">
        <v>2569</v>
      </c>
      <c r="L284" t="s">
        <v>2605</v>
      </c>
      <c r="M284" t="s">
        <v>2618</v>
      </c>
      <c r="N284" t="s">
        <v>2649</v>
      </c>
    </row>
    <row r="285" spans="1:14">
      <c r="A285" s="1">
        <f>HYPERLINK("https://lsnyc.legalserver.org/matter/dynamic-profile/view/1907448","19-1907448")</f>
        <v>0</v>
      </c>
      <c r="B285" t="s">
        <v>16</v>
      </c>
      <c r="C285" t="s">
        <v>46</v>
      </c>
      <c r="D285" t="s">
        <v>347</v>
      </c>
      <c r="E285" t="s">
        <v>2375</v>
      </c>
      <c r="F285" t="s">
        <v>2437</v>
      </c>
      <c r="J285" t="s">
        <v>2481</v>
      </c>
      <c r="K285" t="s">
        <v>2572</v>
      </c>
      <c r="M285" t="s">
        <v>2617</v>
      </c>
    </row>
    <row r="286" spans="1:14">
      <c r="A286" s="1">
        <f>HYPERLINK("https://lsnyc.legalserver.org/matter/dynamic-profile/view/1907461","19-1907461")</f>
        <v>0</v>
      </c>
      <c r="B286" t="s">
        <v>16</v>
      </c>
      <c r="C286" t="s">
        <v>23</v>
      </c>
      <c r="D286" t="s">
        <v>348</v>
      </c>
      <c r="F286" t="s">
        <v>2436</v>
      </c>
      <c r="J286" t="s">
        <v>2484</v>
      </c>
      <c r="K286" t="s">
        <v>2572</v>
      </c>
      <c r="M286" t="s">
        <v>2436</v>
      </c>
    </row>
    <row r="287" spans="1:14">
      <c r="A287" s="1">
        <f>HYPERLINK("https://lsnyc.legalserver.org/matter/dynamic-profile/view/1907465","19-1907465")</f>
        <v>0</v>
      </c>
      <c r="B287" t="s">
        <v>14</v>
      </c>
      <c r="C287" t="s">
        <v>21</v>
      </c>
      <c r="D287" t="s">
        <v>349</v>
      </c>
      <c r="E287" t="s">
        <v>2376</v>
      </c>
      <c r="F287" t="s">
        <v>2437</v>
      </c>
      <c r="J287" t="s">
        <v>2450</v>
      </c>
      <c r="K287" t="s">
        <v>2569</v>
      </c>
      <c r="L287" t="s">
        <v>2600</v>
      </c>
      <c r="M287" t="s">
        <v>2618</v>
      </c>
      <c r="N287" t="s">
        <v>2649</v>
      </c>
    </row>
    <row r="288" spans="1:14">
      <c r="A288" s="1">
        <f>HYPERLINK("https://lsnyc.legalserver.org/matter/dynamic-profile/view/1907501","19-1907501")</f>
        <v>0</v>
      </c>
      <c r="B288" t="s">
        <v>15</v>
      </c>
      <c r="C288" t="s">
        <v>30</v>
      </c>
      <c r="D288" t="s">
        <v>350</v>
      </c>
      <c r="E288" t="s">
        <v>2387</v>
      </c>
      <c r="F288" t="s">
        <v>2440</v>
      </c>
      <c r="J288" t="s">
        <v>2480</v>
      </c>
      <c r="K288" t="s">
        <v>2572</v>
      </c>
      <c r="M288" t="s">
        <v>2641</v>
      </c>
    </row>
    <row r="289" spans="1:14">
      <c r="A289" s="1">
        <f>HYPERLINK("https://lsnyc.legalserver.org/matter/dynamic-profile/view/1907518","19-1907518")</f>
        <v>0</v>
      </c>
      <c r="B289" t="s">
        <v>19</v>
      </c>
      <c r="C289" t="s">
        <v>50</v>
      </c>
      <c r="D289" t="s">
        <v>351</v>
      </c>
      <c r="E289" t="s">
        <v>2376</v>
      </c>
      <c r="F289" t="s">
        <v>2437</v>
      </c>
      <c r="J289" t="s">
        <v>2465</v>
      </c>
      <c r="K289" t="s">
        <v>2569</v>
      </c>
      <c r="M289" t="s">
        <v>2618</v>
      </c>
      <c r="N289" t="s">
        <v>2649</v>
      </c>
    </row>
    <row r="290" spans="1:14">
      <c r="A290" s="1">
        <f>HYPERLINK("https://lsnyc.legalserver.org/matter/dynamic-profile/view/1907570","19-1907570")</f>
        <v>0</v>
      </c>
      <c r="B290" t="s">
        <v>15</v>
      </c>
      <c r="C290" t="s">
        <v>22</v>
      </c>
      <c r="D290" t="s">
        <v>315</v>
      </c>
      <c r="E290" t="s">
        <v>2405</v>
      </c>
      <c r="F290" t="s">
        <v>2439</v>
      </c>
      <c r="J290" t="s">
        <v>2457</v>
      </c>
      <c r="K290" t="s">
        <v>2569</v>
      </c>
      <c r="M290" t="s">
        <v>2641</v>
      </c>
    </row>
    <row r="291" spans="1:14">
      <c r="A291" s="1">
        <f>HYPERLINK("https://lsnyc.legalserver.org/matter/dynamic-profile/view/1907381","19-1907381")</f>
        <v>0</v>
      </c>
      <c r="B291" t="s">
        <v>15</v>
      </c>
      <c r="C291" t="s">
        <v>30</v>
      </c>
      <c r="D291" t="s">
        <v>352</v>
      </c>
      <c r="E291" t="s">
        <v>2386</v>
      </c>
      <c r="F291" t="s">
        <v>2437</v>
      </c>
      <c r="J291" t="s">
        <v>2455</v>
      </c>
      <c r="K291" t="s">
        <v>2569</v>
      </c>
      <c r="M291" t="s">
        <v>2627</v>
      </c>
    </row>
    <row r="292" spans="1:14">
      <c r="A292" s="1">
        <f>HYPERLINK("https://lsnyc.legalserver.org/matter/dynamic-profile/view/1907393","19-1907393")</f>
        <v>0</v>
      </c>
      <c r="B292" t="s">
        <v>16</v>
      </c>
      <c r="C292" t="s">
        <v>23</v>
      </c>
      <c r="D292" t="s">
        <v>353</v>
      </c>
      <c r="E292" t="s">
        <v>2375</v>
      </c>
      <c r="F292" t="s">
        <v>2437</v>
      </c>
      <c r="J292" t="s">
        <v>2471</v>
      </c>
      <c r="K292" t="s">
        <v>2572</v>
      </c>
      <c r="M292" t="s">
        <v>2617</v>
      </c>
    </row>
    <row r="293" spans="1:14">
      <c r="A293" s="1">
        <f>HYPERLINK("https://lsnyc.legalserver.org/matter/dynamic-profile/view/1907233","19-1907233")</f>
        <v>0</v>
      </c>
      <c r="B293" t="s">
        <v>17</v>
      </c>
      <c r="C293" t="s">
        <v>25</v>
      </c>
      <c r="D293" t="s">
        <v>354</v>
      </c>
      <c r="E293" t="s">
        <v>2375</v>
      </c>
      <c r="F293" t="s">
        <v>2437</v>
      </c>
      <c r="G293" t="s">
        <v>2444</v>
      </c>
      <c r="J293" t="s">
        <v>2467</v>
      </c>
      <c r="K293" t="s">
        <v>2572</v>
      </c>
      <c r="M293" t="s">
        <v>2617</v>
      </c>
    </row>
    <row r="294" spans="1:14">
      <c r="A294" s="1">
        <f>HYPERLINK("https://lsnyc.legalserver.org/matter/dynamic-profile/view/1907257","19-1907257")</f>
        <v>0</v>
      </c>
      <c r="B294" t="s">
        <v>18</v>
      </c>
      <c r="C294" t="s">
        <v>27</v>
      </c>
      <c r="D294" t="s">
        <v>121</v>
      </c>
      <c r="E294" t="s">
        <v>2374</v>
      </c>
      <c r="F294" t="s">
        <v>2438</v>
      </c>
      <c r="J294" t="s">
        <v>2450</v>
      </c>
      <c r="K294" t="s">
        <v>2569</v>
      </c>
      <c r="M294" t="s">
        <v>2616</v>
      </c>
      <c r="N294" t="s">
        <v>2649</v>
      </c>
    </row>
    <row r="295" spans="1:14">
      <c r="A295" s="1">
        <f>HYPERLINK("https://lsnyc.legalserver.org/matter/dynamic-profile/view/1907261","19-1907261")</f>
        <v>0</v>
      </c>
      <c r="B295" t="s">
        <v>18</v>
      </c>
      <c r="C295" t="s">
        <v>27</v>
      </c>
      <c r="D295" t="s">
        <v>120</v>
      </c>
      <c r="E295" t="s">
        <v>2374</v>
      </c>
      <c r="F295" t="s">
        <v>2438</v>
      </c>
      <c r="J295" t="s">
        <v>2450</v>
      </c>
      <c r="K295" t="s">
        <v>2569</v>
      </c>
      <c r="M295" t="s">
        <v>2616</v>
      </c>
      <c r="N295" t="s">
        <v>2649</v>
      </c>
    </row>
    <row r="296" spans="1:14">
      <c r="A296" s="1">
        <f>HYPERLINK("https://lsnyc.legalserver.org/matter/dynamic-profile/view/1907270","19-1907270")</f>
        <v>0</v>
      </c>
      <c r="B296" t="s">
        <v>18</v>
      </c>
      <c r="C296" t="s">
        <v>27</v>
      </c>
      <c r="D296" t="s">
        <v>123</v>
      </c>
      <c r="E296" t="s">
        <v>2374</v>
      </c>
      <c r="F296" t="s">
        <v>2438</v>
      </c>
      <c r="J296" t="s">
        <v>2450</v>
      </c>
      <c r="K296" t="s">
        <v>2569</v>
      </c>
      <c r="M296" t="s">
        <v>2616</v>
      </c>
      <c r="N296" t="s">
        <v>2649</v>
      </c>
    </row>
    <row r="297" spans="1:14">
      <c r="A297" s="1">
        <f>HYPERLINK("https://lsnyc.legalserver.org/matter/dynamic-profile/view/1907274","19-1907274")</f>
        <v>0</v>
      </c>
      <c r="B297" t="s">
        <v>18</v>
      </c>
      <c r="C297" t="s">
        <v>27</v>
      </c>
      <c r="D297" t="s">
        <v>122</v>
      </c>
      <c r="E297" t="s">
        <v>2374</v>
      </c>
      <c r="F297" t="s">
        <v>2438</v>
      </c>
      <c r="J297" t="s">
        <v>2450</v>
      </c>
      <c r="K297" t="s">
        <v>2569</v>
      </c>
      <c r="M297" t="s">
        <v>2616</v>
      </c>
      <c r="N297" t="s">
        <v>2649</v>
      </c>
    </row>
    <row r="298" spans="1:14">
      <c r="A298" s="1">
        <f>HYPERLINK("https://lsnyc.legalserver.org/matter/dynamic-profile/view/1907299","19-1907299")</f>
        <v>0</v>
      </c>
      <c r="B298" t="s">
        <v>15</v>
      </c>
      <c r="C298" t="s">
        <v>30</v>
      </c>
      <c r="D298" t="s">
        <v>355</v>
      </c>
      <c r="E298" t="s">
        <v>2406</v>
      </c>
      <c r="F298" t="s">
        <v>2437</v>
      </c>
      <c r="J298" t="s">
        <v>2457</v>
      </c>
      <c r="K298" t="s">
        <v>2569</v>
      </c>
      <c r="M298" t="s">
        <v>2642</v>
      </c>
    </row>
    <row r="299" spans="1:14">
      <c r="A299" s="1">
        <f>HYPERLINK("https://lsnyc.legalserver.org/matter/dynamic-profile/view/1907159","19-1907159")</f>
        <v>0</v>
      </c>
      <c r="B299" t="s">
        <v>14</v>
      </c>
      <c r="C299" t="s">
        <v>33</v>
      </c>
      <c r="D299" t="s">
        <v>356</v>
      </c>
      <c r="E299" t="s">
        <v>2374</v>
      </c>
      <c r="F299" t="s">
        <v>2439</v>
      </c>
      <c r="J299" t="s">
        <v>2450</v>
      </c>
      <c r="K299" t="s">
        <v>2569</v>
      </c>
      <c r="L299" t="s">
        <v>2601</v>
      </c>
      <c r="M299" t="s">
        <v>2631</v>
      </c>
    </row>
    <row r="300" spans="1:14">
      <c r="A300" s="1">
        <f>HYPERLINK("https://lsnyc.legalserver.org/matter/dynamic-profile/view/1907157","19-1907157")</f>
        <v>0</v>
      </c>
      <c r="B300" t="s">
        <v>19</v>
      </c>
      <c r="C300" t="s">
        <v>38</v>
      </c>
      <c r="D300" t="s">
        <v>357</v>
      </c>
      <c r="E300" t="s">
        <v>2390</v>
      </c>
      <c r="F300" t="s">
        <v>2440</v>
      </c>
      <c r="J300" t="s">
        <v>2452</v>
      </c>
      <c r="L300" t="s">
        <v>2601</v>
      </c>
      <c r="M300" t="s">
        <v>2631</v>
      </c>
      <c r="N300" t="s">
        <v>2648</v>
      </c>
    </row>
    <row r="301" spans="1:14">
      <c r="A301" s="1">
        <f>HYPERLINK("https://lsnyc.legalserver.org/matter/dynamic-profile/view/1907141","19-1907141")</f>
        <v>0</v>
      </c>
      <c r="B301" t="s">
        <v>14</v>
      </c>
      <c r="C301" t="s">
        <v>21</v>
      </c>
      <c r="D301" t="s">
        <v>358</v>
      </c>
      <c r="E301" t="s">
        <v>2376</v>
      </c>
      <c r="F301" t="s">
        <v>2437</v>
      </c>
      <c r="J301" t="s">
        <v>2450</v>
      </c>
      <c r="L301" t="s">
        <v>2600</v>
      </c>
      <c r="M301" t="s">
        <v>2618</v>
      </c>
      <c r="N301" t="s">
        <v>2649</v>
      </c>
    </row>
    <row r="302" spans="1:14">
      <c r="A302" s="1">
        <f>HYPERLINK("https://lsnyc.legalserver.org/matter/dynamic-profile/view/1907152","19-1907152")</f>
        <v>0</v>
      </c>
      <c r="B302" t="s">
        <v>14</v>
      </c>
      <c r="C302" t="s">
        <v>21</v>
      </c>
      <c r="D302" t="s">
        <v>359</v>
      </c>
      <c r="E302" t="s">
        <v>2376</v>
      </c>
      <c r="F302" t="s">
        <v>2437</v>
      </c>
      <c r="J302" t="s">
        <v>2450</v>
      </c>
      <c r="L302" t="s">
        <v>2600</v>
      </c>
      <c r="M302" t="s">
        <v>2618</v>
      </c>
      <c r="N302" t="s">
        <v>2649</v>
      </c>
    </row>
    <row r="303" spans="1:14">
      <c r="A303" s="1">
        <f>HYPERLINK("https://lsnyc.legalserver.org/matter/dynamic-profile/view/1907201","19-1907201")</f>
        <v>0</v>
      </c>
      <c r="B303" t="s">
        <v>14</v>
      </c>
      <c r="C303" t="s">
        <v>21</v>
      </c>
      <c r="D303" t="s">
        <v>360</v>
      </c>
      <c r="E303" t="s">
        <v>2374</v>
      </c>
      <c r="F303" t="s">
        <v>2439</v>
      </c>
      <c r="J303" t="s">
        <v>2450</v>
      </c>
      <c r="K303" t="s">
        <v>2569</v>
      </c>
      <c r="L303" t="s">
        <v>2602</v>
      </c>
      <c r="M303" t="s">
        <v>2631</v>
      </c>
      <c r="N303" t="s">
        <v>2649</v>
      </c>
    </row>
    <row r="304" spans="1:14">
      <c r="A304" s="1">
        <f>HYPERLINK("https://lsnyc.legalserver.org/matter/dynamic-profile/view/1907105","19-1907105")</f>
        <v>0</v>
      </c>
      <c r="B304" t="s">
        <v>14</v>
      </c>
      <c r="C304" t="s">
        <v>20</v>
      </c>
      <c r="D304" t="s">
        <v>361</v>
      </c>
      <c r="E304" t="s">
        <v>2374</v>
      </c>
      <c r="F304" t="s">
        <v>2439</v>
      </c>
      <c r="J304" t="s">
        <v>2450</v>
      </c>
      <c r="K304" t="s">
        <v>2569</v>
      </c>
      <c r="L304" t="s">
        <v>2601</v>
      </c>
      <c r="M304" t="s">
        <v>2631</v>
      </c>
      <c r="N304" t="s">
        <v>2649</v>
      </c>
    </row>
    <row r="305" spans="1:14">
      <c r="A305" s="1">
        <f>HYPERLINK("https://lsnyc.legalserver.org/matter/dynamic-profile/view/1907114","19-1907114")</f>
        <v>0</v>
      </c>
      <c r="B305" t="s">
        <v>19</v>
      </c>
      <c r="C305" t="s">
        <v>48</v>
      </c>
      <c r="D305" t="s">
        <v>362</v>
      </c>
      <c r="E305" t="s">
        <v>2374</v>
      </c>
      <c r="J305" t="s">
        <v>2450</v>
      </c>
      <c r="K305" t="s">
        <v>2569</v>
      </c>
      <c r="M305" t="s">
        <v>2616</v>
      </c>
    </row>
    <row r="306" spans="1:14">
      <c r="A306" s="1">
        <f>HYPERLINK("https://lsnyc.legalserver.org/matter/dynamic-profile/view/1906938","19-1906938")</f>
        <v>0</v>
      </c>
      <c r="B306" t="s">
        <v>15</v>
      </c>
      <c r="C306" t="s">
        <v>30</v>
      </c>
      <c r="D306" t="s">
        <v>363</v>
      </c>
      <c r="E306" t="s">
        <v>2387</v>
      </c>
      <c r="F306" t="s">
        <v>2437</v>
      </c>
      <c r="J306" t="s">
        <v>2450</v>
      </c>
      <c r="K306" t="s">
        <v>2569</v>
      </c>
      <c r="M306" t="s">
        <v>2629</v>
      </c>
    </row>
    <row r="307" spans="1:14">
      <c r="A307" s="1">
        <f>HYPERLINK("https://lsnyc.legalserver.org/matter/dynamic-profile/view/1906950","19-1906950")</f>
        <v>0</v>
      </c>
      <c r="B307" t="s">
        <v>14</v>
      </c>
      <c r="C307" t="s">
        <v>20</v>
      </c>
      <c r="D307" t="s">
        <v>364</v>
      </c>
      <c r="E307" t="s">
        <v>2395</v>
      </c>
      <c r="F307" t="s">
        <v>2437</v>
      </c>
      <c r="J307" t="s">
        <v>2495</v>
      </c>
      <c r="K307" t="s">
        <v>2572</v>
      </c>
      <c r="M307" t="s">
        <v>2626</v>
      </c>
      <c r="N307" t="s">
        <v>2648</v>
      </c>
    </row>
    <row r="308" spans="1:14">
      <c r="A308" s="1">
        <f>HYPERLINK("https://lsnyc.legalserver.org/matter/dynamic-profile/view/1906951","19-1906951")</f>
        <v>0</v>
      </c>
      <c r="B308" t="s">
        <v>14</v>
      </c>
      <c r="C308" t="s">
        <v>20</v>
      </c>
      <c r="D308" t="s">
        <v>364</v>
      </c>
      <c r="E308" t="s">
        <v>2383</v>
      </c>
      <c r="F308" t="s">
        <v>2437</v>
      </c>
      <c r="J308" t="s">
        <v>2495</v>
      </c>
      <c r="K308" t="s">
        <v>2572</v>
      </c>
      <c r="M308" t="s">
        <v>2626</v>
      </c>
      <c r="N308" t="s">
        <v>2648</v>
      </c>
    </row>
    <row r="309" spans="1:14">
      <c r="A309" s="1">
        <f>HYPERLINK("https://lsnyc.legalserver.org/matter/dynamic-profile/view/1906811","19-1906811")</f>
        <v>0</v>
      </c>
      <c r="B309" t="s">
        <v>18</v>
      </c>
      <c r="C309" t="s">
        <v>45</v>
      </c>
      <c r="D309" t="s">
        <v>365</v>
      </c>
      <c r="E309" t="s">
        <v>2375</v>
      </c>
      <c r="J309" t="s">
        <v>2496</v>
      </c>
      <c r="K309" t="s">
        <v>2572</v>
      </c>
      <c r="M309" t="s">
        <v>2617</v>
      </c>
    </row>
    <row r="310" spans="1:14">
      <c r="A310" s="1">
        <f>HYPERLINK("https://lsnyc.legalserver.org/matter/dynamic-profile/view/1906822","19-1906822")</f>
        <v>0</v>
      </c>
      <c r="B310" t="s">
        <v>14</v>
      </c>
      <c r="C310" t="s">
        <v>43</v>
      </c>
      <c r="D310" t="s">
        <v>366</v>
      </c>
      <c r="E310" t="s">
        <v>2394</v>
      </c>
      <c r="G310" t="s">
        <v>2444</v>
      </c>
      <c r="J310" t="s">
        <v>2467</v>
      </c>
      <c r="K310" t="s">
        <v>2572</v>
      </c>
      <c r="M310" t="s">
        <v>2627</v>
      </c>
    </row>
    <row r="311" spans="1:14">
      <c r="A311" s="1">
        <f>HYPERLINK("https://lsnyc.legalserver.org/matter/dynamic-profile/view/1906872","19-1906872")</f>
        <v>0</v>
      </c>
      <c r="B311" t="s">
        <v>18</v>
      </c>
      <c r="C311" t="s">
        <v>35</v>
      </c>
      <c r="D311" t="s">
        <v>367</v>
      </c>
      <c r="E311" t="s">
        <v>2370</v>
      </c>
      <c r="F311" t="s">
        <v>2436</v>
      </c>
      <c r="G311" t="s">
        <v>2444</v>
      </c>
      <c r="J311" t="s">
        <v>2463</v>
      </c>
      <c r="K311" t="s">
        <v>2575</v>
      </c>
      <c r="M311" t="s">
        <v>2436</v>
      </c>
    </row>
    <row r="312" spans="1:14">
      <c r="A312" s="1">
        <f>HYPERLINK("https://lsnyc.legalserver.org/matter/dynamic-profile/view/1906769","19-1906769")</f>
        <v>0</v>
      </c>
      <c r="B312" t="s">
        <v>19</v>
      </c>
      <c r="C312" t="s">
        <v>38</v>
      </c>
      <c r="D312" t="s">
        <v>368</v>
      </c>
      <c r="E312" t="s">
        <v>2381</v>
      </c>
      <c r="F312" t="s">
        <v>2440</v>
      </c>
      <c r="L312" t="s">
        <v>2601</v>
      </c>
      <c r="M312" t="s">
        <v>2631</v>
      </c>
    </row>
    <row r="313" spans="1:14">
      <c r="A313" s="1">
        <f>HYPERLINK("https://lsnyc.legalserver.org/matter/dynamic-profile/view/1906655","19-1906655")</f>
        <v>0</v>
      </c>
      <c r="B313" t="s">
        <v>14</v>
      </c>
      <c r="C313" t="s">
        <v>26</v>
      </c>
      <c r="D313" t="s">
        <v>369</v>
      </c>
      <c r="E313" t="s">
        <v>2376</v>
      </c>
      <c r="F313" t="s">
        <v>2437</v>
      </c>
      <c r="J313" t="s">
        <v>2449</v>
      </c>
      <c r="K313" t="s">
        <v>2569</v>
      </c>
      <c r="M313" t="s">
        <v>2618</v>
      </c>
      <c r="N313" t="s">
        <v>2649</v>
      </c>
    </row>
    <row r="314" spans="1:14">
      <c r="A314" s="1">
        <f>HYPERLINK("https://lsnyc.legalserver.org/matter/dynamic-profile/view/1906997","19-1906997")</f>
        <v>0</v>
      </c>
      <c r="B314" t="s">
        <v>15</v>
      </c>
      <c r="C314" t="s">
        <v>32</v>
      </c>
      <c r="D314" t="s">
        <v>370</v>
      </c>
      <c r="E314" t="s">
        <v>2392</v>
      </c>
      <c r="F314" t="s">
        <v>2437</v>
      </c>
      <c r="G314" t="s">
        <v>2444</v>
      </c>
      <c r="J314" t="s">
        <v>2497</v>
      </c>
      <c r="K314" t="s">
        <v>2585</v>
      </c>
      <c r="L314" t="s">
        <v>2600</v>
      </c>
      <c r="M314" t="s">
        <v>2630</v>
      </c>
    </row>
    <row r="315" spans="1:14">
      <c r="A315" s="1">
        <f>HYPERLINK("https://lsnyc.legalserver.org/matter/dynamic-profile/view/1906566","19-1906566")</f>
        <v>0</v>
      </c>
      <c r="B315" t="s">
        <v>15</v>
      </c>
      <c r="C315" t="s">
        <v>22</v>
      </c>
      <c r="D315" t="s">
        <v>371</v>
      </c>
      <c r="E315" t="s">
        <v>2374</v>
      </c>
      <c r="F315" t="s">
        <v>2438</v>
      </c>
      <c r="J315" t="s">
        <v>2450</v>
      </c>
      <c r="K315" t="s">
        <v>2569</v>
      </c>
      <c r="L315" t="s">
        <v>2601</v>
      </c>
      <c r="M315" t="s">
        <v>2631</v>
      </c>
    </row>
    <row r="316" spans="1:14">
      <c r="A316" s="1">
        <f>HYPERLINK("https://lsnyc.legalserver.org/matter/dynamic-profile/view/1906044","19-1906044")</f>
        <v>0</v>
      </c>
      <c r="B316" t="s">
        <v>17</v>
      </c>
      <c r="C316" t="s">
        <v>25</v>
      </c>
      <c r="D316" t="s">
        <v>372</v>
      </c>
      <c r="E316" t="s">
        <v>2375</v>
      </c>
      <c r="F316" t="s">
        <v>2437</v>
      </c>
      <c r="G316" t="s">
        <v>2444</v>
      </c>
      <c r="J316" t="s">
        <v>2452</v>
      </c>
      <c r="K316" t="s">
        <v>2572</v>
      </c>
      <c r="M316" t="s">
        <v>2617</v>
      </c>
    </row>
    <row r="317" spans="1:14">
      <c r="A317" s="1">
        <f>HYPERLINK("https://lsnyc.legalserver.org/matter/dynamic-profile/view/1906494","19-1906494")</f>
        <v>0</v>
      </c>
      <c r="B317" t="s">
        <v>16</v>
      </c>
      <c r="C317" t="s">
        <v>46</v>
      </c>
      <c r="D317" t="s">
        <v>373</v>
      </c>
      <c r="E317" t="s">
        <v>2375</v>
      </c>
      <c r="F317" t="s">
        <v>2437</v>
      </c>
      <c r="J317" t="s">
        <v>2452</v>
      </c>
      <c r="K317" t="s">
        <v>2572</v>
      </c>
      <c r="M317" t="s">
        <v>2617</v>
      </c>
    </row>
    <row r="318" spans="1:14">
      <c r="A318" s="1">
        <f>HYPERLINK("https://lsnyc.legalserver.org/matter/dynamic-profile/view/1906513","19-1906513")</f>
        <v>0</v>
      </c>
      <c r="B318" t="s">
        <v>16</v>
      </c>
      <c r="C318" t="s">
        <v>46</v>
      </c>
      <c r="D318" t="s">
        <v>374</v>
      </c>
      <c r="E318" t="s">
        <v>2375</v>
      </c>
      <c r="F318" t="s">
        <v>2437</v>
      </c>
      <c r="J318" t="s">
        <v>2488</v>
      </c>
      <c r="K318" t="s">
        <v>2569</v>
      </c>
      <c r="L318" t="s">
        <v>2600</v>
      </c>
      <c r="M318" t="s">
        <v>2617</v>
      </c>
    </row>
    <row r="319" spans="1:14">
      <c r="A319" s="1">
        <f>HYPERLINK("https://lsnyc.legalserver.org/matter/dynamic-profile/view/1906565","19-1906565")</f>
        <v>0</v>
      </c>
      <c r="B319" t="s">
        <v>15</v>
      </c>
      <c r="C319" t="s">
        <v>22</v>
      </c>
      <c r="D319" t="s">
        <v>375</v>
      </c>
      <c r="E319" t="s">
        <v>2374</v>
      </c>
      <c r="F319" t="s">
        <v>2438</v>
      </c>
      <c r="J319" t="s">
        <v>2450</v>
      </c>
      <c r="K319" t="s">
        <v>2569</v>
      </c>
      <c r="M319" t="s">
        <v>2616</v>
      </c>
    </row>
    <row r="320" spans="1:14">
      <c r="A320" s="1">
        <f>HYPERLINK("https://lsnyc.legalserver.org/matter/dynamic-profile/view/1906396","19-1906396")</f>
        <v>0</v>
      </c>
      <c r="B320" t="s">
        <v>14</v>
      </c>
      <c r="C320" t="s">
        <v>24</v>
      </c>
      <c r="D320" t="s">
        <v>376</v>
      </c>
      <c r="E320" t="s">
        <v>2375</v>
      </c>
      <c r="F320" t="s">
        <v>2439</v>
      </c>
      <c r="J320" t="s">
        <v>2452</v>
      </c>
      <c r="K320" t="s">
        <v>2572</v>
      </c>
      <c r="L320" t="s">
        <v>2601</v>
      </c>
      <c r="M320" t="s">
        <v>2631</v>
      </c>
    </row>
    <row r="321" spans="1:14">
      <c r="A321" s="1">
        <f>HYPERLINK("https://lsnyc.legalserver.org/matter/dynamic-profile/view/1906299","19-1906299")</f>
        <v>0</v>
      </c>
      <c r="B321" t="s">
        <v>19</v>
      </c>
      <c r="C321" t="s">
        <v>47</v>
      </c>
      <c r="D321" t="s">
        <v>196</v>
      </c>
      <c r="E321" t="s">
        <v>2376</v>
      </c>
      <c r="F321" t="s">
        <v>2437</v>
      </c>
      <c r="J321" t="s">
        <v>2450</v>
      </c>
      <c r="K321" t="s">
        <v>2569</v>
      </c>
      <c r="L321" t="s">
        <v>2600</v>
      </c>
      <c r="M321" t="s">
        <v>2618</v>
      </c>
    </row>
    <row r="322" spans="1:14">
      <c r="A322" s="1">
        <f>HYPERLINK("https://lsnyc.legalserver.org/matter/dynamic-profile/view/1906211","19-1906211")</f>
        <v>0</v>
      </c>
      <c r="B322" t="s">
        <v>18</v>
      </c>
      <c r="C322" t="s">
        <v>35</v>
      </c>
      <c r="D322" t="s">
        <v>377</v>
      </c>
      <c r="E322" t="s">
        <v>2381</v>
      </c>
      <c r="F322" t="s">
        <v>2437</v>
      </c>
      <c r="J322" t="s">
        <v>2450</v>
      </c>
      <c r="K322" t="s">
        <v>2572</v>
      </c>
      <c r="L322" t="s">
        <v>2601</v>
      </c>
      <c r="M322" t="s">
        <v>2631</v>
      </c>
    </row>
    <row r="323" spans="1:14">
      <c r="A323" s="1">
        <f>HYPERLINK("https://lsnyc.legalserver.org/matter/dynamic-profile/view/1906168","19-1906168")</f>
        <v>0</v>
      </c>
      <c r="B323" t="s">
        <v>18</v>
      </c>
      <c r="C323" t="s">
        <v>53</v>
      </c>
      <c r="D323" t="s">
        <v>378</v>
      </c>
      <c r="E323" t="s">
        <v>2383</v>
      </c>
      <c r="F323" t="s">
        <v>2437</v>
      </c>
      <c r="J323" t="s">
        <v>2448</v>
      </c>
      <c r="K323" t="s">
        <v>2569</v>
      </c>
      <c r="M323" t="s">
        <v>2624</v>
      </c>
    </row>
    <row r="324" spans="1:14">
      <c r="A324" s="1">
        <f>HYPERLINK("https://lsnyc.legalserver.org/matter/dynamic-profile/view/1906172","19-1906172")</f>
        <v>0</v>
      </c>
      <c r="B324" t="s">
        <v>18</v>
      </c>
      <c r="C324" t="s">
        <v>53</v>
      </c>
      <c r="D324" t="s">
        <v>378</v>
      </c>
      <c r="E324" t="s">
        <v>2393</v>
      </c>
      <c r="F324" t="s">
        <v>2437</v>
      </c>
      <c r="J324" t="s">
        <v>2448</v>
      </c>
      <c r="K324" t="s">
        <v>2569</v>
      </c>
      <c r="L324" t="s">
        <v>2600</v>
      </c>
      <c r="M324" t="s">
        <v>2637</v>
      </c>
    </row>
    <row r="325" spans="1:14">
      <c r="A325" s="1">
        <f>HYPERLINK("https://lsnyc.legalserver.org/matter/dynamic-profile/view/1906213","19-1906213")</f>
        <v>0</v>
      </c>
      <c r="B325" t="s">
        <v>18</v>
      </c>
      <c r="C325" t="s">
        <v>35</v>
      </c>
      <c r="D325" t="s">
        <v>377</v>
      </c>
      <c r="E325" t="s">
        <v>2397</v>
      </c>
      <c r="F325" t="s">
        <v>2438</v>
      </c>
      <c r="J325" t="s">
        <v>2450</v>
      </c>
      <c r="K325" t="s">
        <v>2572</v>
      </c>
      <c r="M325" t="s">
        <v>2616</v>
      </c>
    </row>
    <row r="326" spans="1:14">
      <c r="A326" s="1">
        <f>HYPERLINK("https://lsnyc.legalserver.org/matter/dynamic-profile/view/1906214","19-1906214")</f>
        <v>0</v>
      </c>
      <c r="B326" t="s">
        <v>18</v>
      </c>
      <c r="C326" t="s">
        <v>35</v>
      </c>
      <c r="D326" t="s">
        <v>377</v>
      </c>
      <c r="E326" t="s">
        <v>2391</v>
      </c>
      <c r="F326" t="s">
        <v>2437</v>
      </c>
      <c r="J326" t="s">
        <v>2450</v>
      </c>
      <c r="K326" t="s">
        <v>2572</v>
      </c>
      <c r="M326" t="s">
        <v>2615</v>
      </c>
    </row>
    <row r="327" spans="1:14">
      <c r="A327" s="1">
        <f>HYPERLINK("https://lsnyc.legalserver.org/matter/dynamic-profile/view/1906215","19-1906215")</f>
        <v>0</v>
      </c>
      <c r="B327" t="s">
        <v>18</v>
      </c>
      <c r="C327" t="s">
        <v>35</v>
      </c>
      <c r="D327" t="s">
        <v>377</v>
      </c>
      <c r="E327" t="s">
        <v>2405</v>
      </c>
      <c r="F327" t="s">
        <v>2437</v>
      </c>
      <c r="J327" t="s">
        <v>2450</v>
      </c>
      <c r="K327" t="s">
        <v>2572</v>
      </c>
      <c r="M327" t="s">
        <v>2613</v>
      </c>
    </row>
    <row r="328" spans="1:14">
      <c r="A328" s="1">
        <f>HYPERLINK("https://lsnyc.legalserver.org/matter/dynamic-profile/view/1906256","19-1906256")</f>
        <v>0</v>
      </c>
      <c r="B328" t="s">
        <v>15</v>
      </c>
      <c r="C328" t="s">
        <v>30</v>
      </c>
      <c r="D328" t="s">
        <v>379</v>
      </c>
      <c r="E328" t="s">
        <v>2374</v>
      </c>
      <c r="F328" t="s">
        <v>2438</v>
      </c>
      <c r="J328" t="s">
        <v>2447</v>
      </c>
      <c r="K328" t="s">
        <v>2569</v>
      </c>
      <c r="M328" t="s">
        <v>2616</v>
      </c>
    </row>
    <row r="329" spans="1:14">
      <c r="A329" s="1">
        <f>HYPERLINK("https://lsnyc.legalserver.org/matter/dynamic-profile/view/1906305","19-1906305")</f>
        <v>0</v>
      </c>
      <c r="B329" t="s">
        <v>15</v>
      </c>
      <c r="C329" t="s">
        <v>30</v>
      </c>
      <c r="D329" t="s">
        <v>380</v>
      </c>
      <c r="E329" t="s">
        <v>2390</v>
      </c>
      <c r="F329" t="s">
        <v>2437</v>
      </c>
      <c r="J329" t="s">
        <v>2448</v>
      </c>
      <c r="K329" t="s">
        <v>2569</v>
      </c>
      <c r="M329" t="s">
        <v>2619</v>
      </c>
    </row>
    <row r="330" spans="1:14">
      <c r="A330" s="1">
        <f>HYPERLINK("https://lsnyc.legalserver.org/matter/dynamic-profile/view/1906122","19-1906122")</f>
        <v>0</v>
      </c>
      <c r="B330" t="s">
        <v>18</v>
      </c>
      <c r="C330" t="s">
        <v>53</v>
      </c>
      <c r="D330" t="s">
        <v>378</v>
      </c>
      <c r="E330" t="s">
        <v>2376</v>
      </c>
      <c r="F330" t="s">
        <v>2437</v>
      </c>
      <c r="J330" t="s">
        <v>2448</v>
      </c>
      <c r="K330" t="s">
        <v>2569</v>
      </c>
      <c r="L330" t="s">
        <v>2600</v>
      </c>
      <c r="M330" t="s">
        <v>2618</v>
      </c>
    </row>
    <row r="331" spans="1:14">
      <c r="A331" s="1">
        <f>HYPERLINK("https://lsnyc.legalserver.org/matter/dynamic-profile/view/1905997","19-1905997")</f>
        <v>0</v>
      </c>
      <c r="B331" t="s">
        <v>16</v>
      </c>
      <c r="C331" t="s">
        <v>23</v>
      </c>
      <c r="D331" t="s">
        <v>381</v>
      </c>
      <c r="E331" t="s">
        <v>2375</v>
      </c>
      <c r="F331" t="s">
        <v>2437</v>
      </c>
      <c r="J331" t="s">
        <v>2448</v>
      </c>
      <c r="K331" t="s">
        <v>2569</v>
      </c>
      <c r="M331" t="s">
        <v>2617</v>
      </c>
      <c r="N331" t="s">
        <v>2648</v>
      </c>
    </row>
    <row r="332" spans="1:14">
      <c r="A332" s="1">
        <f>HYPERLINK("https://lsnyc.legalserver.org/matter/dynamic-profile/view/1906009","19-1906009")</f>
        <v>0</v>
      </c>
      <c r="B332" t="s">
        <v>16</v>
      </c>
      <c r="C332" t="s">
        <v>24</v>
      </c>
      <c r="D332" t="s">
        <v>382</v>
      </c>
      <c r="F332" t="s">
        <v>2439</v>
      </c>
      <c r="J332" t="s">
        <v>2488</v>
      </c>
      <c r="K332" t="s">
        <v>2569</v>
      </c>
      <c r="L332" t="s">
        <v>2601</v>
      </c>
      <c r="M332" t="s">
        <v>2631</v>
      </c>
    </row>
    <row r="333" spans="1:14">
      <c r="A333" s="1">
        <f>HYPERLINK("https://lsnyc.legalserver.org/matter/dynamic-profile/view/1905966","19-1905966")</f>
        <v>0</v>
      </c>
      <c r="B333" t="s">
        <v>17</v>
      </c>
      <c r="C333" t="s">
        <v>36</v>
      </c>
      <c r="D333" t="s">
        <v>383</v>
      </c>
      <c r="E333" t="s">
        <v>2407</v>
      </c>
      <c r="F333" t="s">
        <v>2437</v>
      </c>
      <c r="G333" t="s">
        <v>2444</v>
      </c>
      <c r="K333" t="s">
        <v>2578</v>
      </c>
      <c r="M333" t="s">
        <v>2630</v>
      </c>
    </row>
    <row r="334" spans="1:14">
      <c r="A334" s="1">
        <f>HYPERLINK("https://lsnyc.legalserver.org/matter/dynamic-profile/view/1905833","19-1905833")</f>
        <v>0</v>
      </c>
      <c r="B334" t="s">
        <v>18</v>
      </c>
      <c r="C334" t="s">
        <v>27</v>
      </c>
      <c r="D334" t="s">
        <v>384</v>
      </c>
      <c r="E334" t="s">
        <v>2398</v>
      </c>
      <c r="F334" t="s">
        <v>2437</v>
      </c>
      <c r="J334" t="s">
        <v>2448</v>
      </c>
      <c r="K334" t="s">
        <v>2569</v>
      </c>
      <c r="L334" t="s">
        <v>2600</v>
      </c>
      <c r="M334" t="s">
        <v>2634</v>
      </c>
    </row>
    <row r="335" spans="1:14">
      <c r="A335" s="1">
        <f>HYPERLINK("https://lsnyc.legalserver.org/matter/dynamic-profile/view/1905823","19-1905823")</f>
        <v>0</v>
      </c>
      <c r="B335" t="s">
        <v>16</v>
      </c>
      <c r="C335" t="s">
        <v>46</v>
      </c>
      <c r="D335" t="s">
        <v>385</v>
      </c>
      <c r="E335" t="s">
        <v>2375</v>
      </c>
      <c r="F335" t="s">
        <v>2437</v>
      </c>
      <c r="J335" t="s">
        <v>2452</v>
      </c>
      <c r="K335" t="s">
        <v>2572</v>
      </c>
      <c r="M335" t="s">
        <v>2617</v>
      </c>
    </row>
    <row r="336" spans="1:14">
      <c r="A336" s="1">
        <f>HYPERLINK("https://lsnyc.legalserver.org/matter/dynamic-profile/view/1905854","19-1905854")</f>
        <v>0</v>
      </c>
      <c r="B336" t="s">
        <v>16</v>
      </c>
      <c r="C336" t="s">
        <v>23</v>
      </c>
      <c r="D336" t="s">
        <v>386</v>
      </c>
      <c r="E336" t="s">
        <v>2375</v>
      </c>
      <c r="F336" t="s">
        <v>2437</v>
      </c>
      <c r="J336" t="s">
        <v>2454</v>
      </c>
      <c r="K336" t="s">
        <v>2572</v>
      </c>
      <c r="M336" t="s">
        <v>2617</v>
      </c>
    </row>
    <row r="337" spans="1:14">
      <c r="A337" s="1">
        <f>HYPERLINK("https://lsnyc.legalserver.org/matter/dynamic-profile/view/1905876","19-1905876")</f>
        <v>0</v>
      </c>
      <c r="B337" t="s">
        <v>15</v>
      </c>
      <c r="C337" t="s">
        <v>55</v>
      </c>
      <c r="D337" t="s">
        <v>387</v>
      </c>
      <c r="G337" t="s">
        <v>2444</v>
      </c>
      <c r="J337" t="s">
        <v>2449</v>
      </c>
      <c r="K337" t="s">
        <v>2569</v>
      </c>
      <c r="M337" t="s">
        <v>2614</v>
      </c>
    </row>
    <row r="338" spans="1:14">
      <c r="A338" s="1">
        <f>HYPERLINK("https://lsnyc.legalserver.org/matter/dynamic-profile/view/1905882","19-1905882")</f>
        <v>0</v>
      </c>
      <c r="B338" t="s">
        <v>15</v>
      </c>
      <c r="C338" t="s">
        <v>55</v>
      </c>
      <c r="D338" t="s">
        <v>388</v>
      </c>
      <c r="G338" t="s">
        <v>2444</v>
      </c>
      <c r="K338" t="s">
        <v>2569</v>
      </c>
      <c r="M338" t="s">
        <v>2614</v>
      </c>
    </row>
    <row r="339" spans="1:14">
      <c r="A339" s="1">
        <f>HYPERLINK("https://lsnyc.legalserver.org/matter/dynamic-profile/view/1905890","19-1905890")</f>
        <v>0</v>
      </c>
      <c r="B339" t="s">
        <v>14</v>
      </c>
      <c r="C339" t="s">
        <v>26</v>
      </c>
      <c r="D339" t="s">
        <v>389</v>
      </c>
      <c r="E339" t="s">
        <v>2376</v>
      </c>
      <c r="F339" t="s">
        <v>2437</v>
      </c>
      <c r="J339" t="s">
        <v>2450</v>
      </c>
      <c r="K339" t="s">
        <v>2569</v>
      </c>
      <c r="M339" t="s">
        <v>2618</v>
      </c>
      <c r="N339" t="s">
        <v>2649</v>
      </c>
    </row>
    <row r="340" spans="1:14">
      <c r="A340" s="1">
        <f>HYPERLINK("https://lsnyc.legalserver.org/matter/dynamic-profile/view/1905895","19-1905895")</f>
        <v>0</v>
      </c>
      <c r="B340" t="s">
        <v>15</v>
      </c>
      <c r="C340" t="s">
        <v>55</v>
      </c>
      <c r="D340" t="s">
        <v>390</v>
      </c>
      <c r="F340" t="s">
        <v>2439</v>
      </c>
      <c r="J340" t="s">
        <v>2450</v>
      </c>
      <c r="K340" t="s">
        <v>2569</v>
      </c>
      <c r="M340" t="s">
        <v>2631</v>
      </c>
    </row>
    <row r="341" spans="1:14">
      <c r="A341" s="1">
        <f>HYPERLINK("https://lsnyc.legalserver.org/matter/dynamic-profile/view/1905896","19-1905896")</f>
        <v>0</v>
      </c>
      <c r="B341" t="s">
        <v>15</v>
      </c>
      <c r="C341" t="s">
        <v>55</v>
      </c>
      <c r="D341" t="s">
        <v>391</v>
      </c>
      <c r="G341" t="s">
        <v>2444</v>
      </c>
      <c r="J341" t="s">
        <v>2450</v>
      </c>
      <c r="K341" t="s">
        <v>2569</v>
      </c>
      <c r="M341" t="s">
        <v>2614</v>
      </c>
    </row>
    <row r="342" spans="1:14">
      <c r="A342" s="1">
        <f>HYPERLINK("https://lsnyc.legalserver.org/matter/dynamic-profile/view/1905897","19-1905897")</f>
        <v>0</v>
      </c>
      <c r="B342" t="s">
        <v>15</v>
      </c>
      <c r="C342" t="s">
        <v>55</v>
      </c>
      <c r="D342" t="s">
        <v>392</v>
      </c>
      <c r="G342" t="s">
        <v>2444</v>
      </c>
      <c r="J342" t="s">
        <v>2450</v>
      </c>
      <c r="K342" t="s">
        <v>2569</v>
      </c>
      <c r="M342" t="s">
        <v>2614</v>
      </c>
    </row>
    <row r="343" spans="1:14">
      <c r="A343" s="1">
        <f>HYPERLINK("https://lsnyc.legalserver.org/matter/dynamic-profile/view/1905651","19-1905651")</f>
        <v>0</v>
      </c>
      <c r="B343" t="s">
        <v>18</v>
      </c>
      <c r="C343" t="s">
        <v>35</v>
      </c>
      <c r="D343" t="s">
        <v>377</v>
      </c>
      <c r="E343" t="s">
        <v>2374</v>
      </c>
      <c r="F343" t="s">
        <v>2438</v>
      </c>
      <c r="J343" t="s">
        <v>2450</v>
      </c>
      <c r="K343" t="s">
        <v>2572</v>
      </c>
      <c r="M343" t="s">
        <v>2616</v>
      </c>
    </row>
    <row r="344" spans="1:14">
      <c r="A344" s="1">
        <f>HYPERLINK("https://lsnyc.legalserver.org/matter/dynamic-profile/view/1905680","19-1905680")</f>
        <v>0</v>
      </c>
      <c r="B344" t="s">
        <v>14</v>
      </c>
      <c r="C344" t="s">
        <v>26</v>
      </c>
      <c r="D344" t="s">
        <v>393</v>
      </c>
      <c r="E344" t="s">
        <v>2376</v>
      </c>
      <c r="F344" t="s">
        <v>2437</v>
      </c>
      <c r="J344" t="s">
        <v>2450</v>
      </c>
      <c r="K344" t="s">
        <v>2569</v>
      </c>
      <c r="M344" t="s">
        <v>2618</v>
      </c>
      <c r="N344" t="s">
        <v>2649</v>
      </c>
    </row>
    <row r="345" spans="1:14">
      <c r="A345" s="1">
        <f>HYPERLINK("https://lsnyc.legalserver.org/matter/dynamic-profile/view/1905702","19-1905702")</f>
        <v>0</v>
      </c>
      <c r="B345" t="s">
        <v>14</v>
      </c>
      <c r="C345" t="s">
        <v>21</v>
      </c>
      <c r="D345" t="s">
        <v>394</v>
      </c>
      <c r="E345" t="s">
        <v>2376</v>
      </c>
      <c r="F345" t="s">
        <v>2437</v>
      </c>
      <c r="J345" t="s">
        <v>2450</v>
      </c>
      <c r="K345" t="s">
        <v>2569</v>
      </c>
      <c r="L345" t="s">
        <v>2605</v>
      </c>
      <c r="M345" t="s">
        <v>2618</v>
      </c>
      <c r="N345" t="s">
        <v>2649</v>
      </c>
    </row>
    <row r="346" spans="1:14">
      <c r="A346" s="1">
        <f>HYPERLINK("https://lsnyc.legalserver.org/matter/dynamic-profile/view/1905529","19-1905529")</f>
        <v>0</v>
      </c>
      <c r="B346" t="s">
        <v>14</v>
      </c>
      <c r="C346" t="s">
        <v>26</v>
      </c>
      <c r="D346" t="s">
        <v>395</v>
      </c>
      <c r="E346" t="s">
        <v>2376</v>
      </c>
      <c r="F346" t="s">
        <v>2437</v>
      </c>
      <c r="J346" t="s">
        <v>2450</v>
      </c>
      <c r="K346" t="s">
        <v>2569</v>
      </c>
      <c r="M346" t="s">
        <v>2618</v>
      </c>
      <c r="N346" t="s">
        <v>2649</v>
      </c>
    </row>
    <row r="347" spans="1:14">
      <c r="A347" s="1">
        <f>HYPERLINK("https://lsnyc.legalserver.org/matter/dynamic-profile/view/1905622","19-1905622")</f>
        <v>0</v>
      </c>
      <c r="B347" t="s">
        <v>14</v>
      </c>
      <c r="C347" t="s">
        <v>26</v>
      </c>
      <c r="D347" t="s">
        <v>396</v>
      </c>
      <c r="E347" t="s">
        <v>2376</v>
      </c>
      <c r="F347" t="s">
        <v>2437</v>
      </c>
      <c r="J347" t="s">
        <v>2450</v>
      </c>
      <c r="K347" t="s">
        <v>2569</v>
      </c>
      <c r="M347" t="s">
        <v>2618</v>
      </c>
      <c r="N347" t="s">
        <v>2649</v>
      </c>
    </row>
    <row r="348" spans="1:14">
      <c r="A348" s="1">
        <f>HYPERLINK("https://lsnyc.legalserver.org/matter/dynamic-profile/view/1905628","19-1905628")</f>
        <v>0</v>
      </c>
      <c r="B348" t="s">
        <v>15</v>
      </c>
      <c r="C348" t="s">
        <v>22</v>
      </c>
      <c r="D348" t="s">
        <v>192</v>
      </c>
      <c r="E348" t="s">
        <v>2376</v>
      </c>
      <c r="F348" t="s">
        <v>2437</v>
      </c>
      <c r="J348" t="s">
        <v>2449</v>
      </c>
      <c r="K348" t="s">
        <v>2569</v>
      </c>
      <c r="L348" t="s">
        <v>2603</v>
      </c>
      <c r="M348" t="s">
        <v>2618</v>
      </c>
    </row>
    <row r="349" spans="1:14">
      <c r="A349" s="1">
        <f>HYPERLINK("https://lsnyc.legalserver.org/matter/dynamic-profile/view/1905629","19-1905629")</f>
        <v>0</v>
      </c>
      <c r="B349" t="s">
        <v>15</v>
      </c>
      <c r="C349" t="s">
        <v>22</v>
      </c>
      <c r="D349" t="s">
        <v>192</v>
      </c>
      <c r="E349" t="s">
        <v>2405</v>
      </c>
      <c r="F349" t="s">
        <v>2438</v>
      </c>
      <c r="J349" t="s">
        <v>2449</v>
      </c>
      <c r="K349" t="s">
        <v>2569</v>
      </c>
      <c r="M349" t="s">
        <v>2613</v>
      </c>
      <c r="N349" t="s">
        <v>2649</v>
      </c>
    </row>
    <row r="350" spans="1:14">
      <c r="A350" s="1">
        <f>HYPERLINK("https://lsnyc.legalserver.org/matter/dynamic-profile/view/1906813","19-1906813")</f>
        <v>0</v>
      </c>
      <c r="B350" t="s">
        <v>15</v>
      </c>
      <c r="C350" t="s">
        <v>22</v>
      </c>
      <c r="D350" t="s">
        <v>397</v>
      </c>
      <c r="E350" t="s">
        <v>2389</v>
      </c>
      <c r="F350" t="s">
        <v>2441</v>
      </c>
      <c r="J350" t="s">
        <v>2455</v>
      </c>
      <c r="K350" t="s">
        <v>2569</v>
      </c>
      <c r="M350" t="s">
        <v>2614</v>
      </c>
      <c r="N350" t="s">
        <v>2648</v>
      </c>
    </row>
    <row r="351" spans="1:14">
      <c r="A351" s="1">
        <f>HYPERLINK("https://lsnyc.legalserver.org/matter/dynamic-profile/view/1906817","19-1906817")</f>
        <v>0</v>
      </c>
      <c r="B351" t="s">
        <v>15</v>
      </c>
      <c r="C351" t="s">
        <v>22</v>
      </c>
      <c r="D351" t="s">
        <v>398</v>
      </c>
      <c r="E351" t="s">
        <v>2389</v>
      </c>
      <c r="F351" t="s">
        <v>2441</v>
      </c>
      <c r="J351" t="s">
        <v>2455</v>
      </c>
      <c r="K351" t="s">
        <v>2569</v>
      </c>
      <c r="M351" t="s">
        <v>2614</v>
      </c>
      <c r="N351" t="s">
        <v>2648</v>
      </c>
    </row>
    <row r="352" spans="1:14">
      <c r="A352" s="1">
        <f>HYPERLINK("https://lsnyc.legalserver.org/matter/dynamic-profile/view/1905324","19-1905324")</f>
        <v>0</v>
      </c>
      <c r="B352" t="s">
        <v>14</v>
      </c>
      <c r="C352" t="s">
        <v>20</v>
      </c>
      <c r="D352" t="s">
        <v>399</v>
      </c>
      <c r="E352" t="s">
        <v>2374</v>
      </c>
      <c r="F352" t="s">
        <v>2439</v>
      </c>
      <c r="J352" t="s">
        <v>2450</v>
      </c>
      <c r="K352" t="s">
        <v>2569</v>
      </c>
      <c r="M352" t="s">
        <v>2631</v>
      </c>
      <c r="N352" t="s">
        <v>2649</v>
      </c>
    </row>
    <row r="353" spans="1:14">
      <c r="A353" s="1">
        <f>HYPERLINK("https://lsnyc.legalserver.org/matter/dynamic-profile/view/1905351","19-1905351")</f>
        <v>0</v>
      </c>
      <c r="B353" t="s">
        <v>15</v>
      </c>
      <c r="C353" t="s">
        <v>22</v>
      </c>
      <c r="D353" t="s">
        <v>400</v>
      </c>
      <c r="E353" t="s">
        <v>2376</v>
      </c>
      <c r="F353" t="s">
        <v>2437</v>
      </c>
      <c r="J353" t="s">
        <v>2452</v>
      </c>
      <c r="K353" t="s">
        <v>2572</v>
      </c>
      <c r="L353" t="s">
        <v>2600</v>
      </c>
      <c r="M353" t="s">
        <v>2618</v>
      </c>
    </row>
    <row r="354" spans="1:14">
      <c r="A354" s="1">
        <f>HYPERLINK("https://lsnyc.legalserver.org/matter/dynamic-profile/view/1905263","19-1905263")</f>
        <v>0</v>
      </c>
      <c r="B354" t="s">
        <v>18</v>
      </c>
      <c r="C354" t="s">
        <v>35</v>
      </c>
      <c r="D354" t="s">
        <v>276</v>
      </c>
      <c r="E354" t="s">
        <v>2391</v>
      </c>
      <c r="F354" t="s">
        <v>2437</v>
      </c>
      <c r="K354" t="s">
        <v>2569</v>
      </c>
      <c r="M354" t="s">
        <v>2615</v>
      </c>
    </row>
    <row r="355" spans="1:14">
      <c r="A355" s="1">
        <f>HYPERLINK("https://lsnyc.legalserver.org/matter/dynamic-profile/view/1905390","19-1905390")</f>
        <v>0</v>
      </c>
      <c r="B355" t="s">
        <v>15</v>
      </c>
      <c r="C355" t="s">
        <v>32</v>
      </c>
      <c r="D355" t="s">
        <v>401</v>
      </c>
      <c r="E355" t="s">
        <v>2374</v>
      </c>
      <c r="F355" t="s">
        <v>2438</v>
      </c>
      <c r="J355" t="s">
        <v>2450</v>
      </c>
      <c r="K355" t="s">
        <v>2569</v>
      </c>
      <c r="M355" t="s">
        <v>2616</v>
      </c>
      <c r="N355" t="s">
        <v>2649</v>
      </c>
    </row>
    <row r="356" spans="1:14">
      <c r="A356" s="1">
        <f>HYPERLINK("https://lsnyc.legalserver.org/matter/dynamic-profile/view/1905409","19-1905409")</f>
        <v>0</v>
      </c>
      <c r="B356" t="s">
        <v>15</v>
      </c>
      <c r="C356" t="s">
        <v>32</v>
      </c>
      <c r="D356" t="s">
        <v>402</v>
      </c>
      <c r="E356" t="s">
        <v>2374</v>
      </c>
      <c r="F356" t="s">
        <v>2438</v>
      </c>
      <c r="J356" t="s">
        <v>2450</v>
      </c>
      <c r="K356" t="s">
        <v>2569</v>
      </c>
      <c r="M356" t="s">
        <v>2616</v>
      </c>
    </row>
    <row r="357" spans="1:14">
      <c r="A357" s="1">
        <f>HYPERLINK("https://lsnyc.legalserver.org/matter/dynamic-profile/view/1905519","19-1905519")</f>
        <v>0</v>
      </c>
      <c r="B357" t="s">
        <v>15</v>
      </c>
      <c r="C357" t="s">
        <v>32</v>
      </c>
      <c r="D357" t="s">
        <v>403</v>
      </c>
      <c r="E357" t="s">
        <v>2374</v>
      </c>
      <c r="F357" t="s">
        <v>2438</v>
      </c>
      <c r="J357" t="s">
        <v>2450</v>
      </c>
      <c r="K357" t="s">
        <v>2569</v>
      </c>
      <c r="M357" t="s">
        <v>2616</v>
      </c>
    </row>
    <row r="358" spans="1:14">
      <c r="A358" s="1">
        <f>HYPERLINK("https://lsnyc.legalserver.org/matter/dynamic-profile/view/1905101","19-1905101")</f>
        <v>0</v>
      </c>
      <c r="B358" t="s">
        <v>18</v>
      </c>
      <c r="C358" t="s">
        <v>35</v>
      </c>
      <c r="D358" t="s">
        <v>404</v>
      </c>
      <c r="E358" t="s">
        <v>2393</v>
      </c>
      <c r="F358" t="s">
        <v>2437</v>
      </c>
      <c r="K358" t="s">
        <v>2572</v>
      </c>
      <c r="L358" t="s">
        <v>2603</v>
      </c>
      <c r="M358" t="s">
        <v>2637</v>
      </c>
    </row>
    <row r="359" spans="1:14">
      <c r="A359" s="1">
        <f>HYPERLINK("https://lsnyc.legalserver.org/matter/dynamic-profile/view/1905103","19-1905103")</f>
        <v>0</v>
      </c>
      <c r="B359" t="s">
        <v>18</v>
      </c>
      <c r="C359" t="s">
        <v>35</v>
      </c>
      <c r="D359" t="s">
        <v>405</v>
      </c>
      <c r="E359" t="s">
        <v>2393</v>
      </c>
      <c r="F359" t="s">
        <v>2437</v>
      </c>
      <c r="K359" t="s">
        <v>2572</v>
      </c>
      <c r="L359" t="s">
        <v>2603</v>
      </c>
      <c r="M359" t="s">
        <v>2637</v>
      </c>
    </row>
    <row r="360" spans="1:14">
      <c r="A360" s="1">
        <f>HYPERLINK("https://lsnyc.legalserver.org/matter/dynamic-profile/view/1905032","19-1905032")</f>
        <v>0</v>
      </c>
      <c r="B360" t="s">
        <v>14</v>
      </c>
      <c r="C360" t="s">
        <v>26</v>
      </c>
      <c r="D360" t="s">
        <v>406</v>
      </c>
      <c r="E360" t="s">
        <v>2376</v>
      </c>
      <c r="F360" t="s">
        <v>2437</v>
      </c>
      <c r="J360" t="s">
        <v>2465</v>
      </c>
      <c r="K360" t="s">
        <v>2569</v>
      </c>
      <c r="M360" t="s">
        <v>2618</v>
      </c>
      <c r="N360" t="s">
        <v>2649</v>
      </c>
    </row>
    <row r="361" spans="1:14">
      <c r="A361" s="1">
        <f>HYPERLINK("https://lsnyc.legalserver.org/matter/dynamic-profile/view/1905100","19-1905100")</f>
        <v>0</v>
      </c>
      <c r="B361" t="s">
        <v>18</v>
      </c>
      <c r="C361" t="s">
        <v>35</v>
      </c>
      <c r="D361" t="s">
        <v>404</v>
      </c>
      <c r="E361" t="s">
        <v>2408</v>
      </c>
      <c r="F361" t="s">
        <v>2437</v>
      </c>
      <c r="J361" t="s">
        <v>2452</v>
      </c>
      <c r="K361" t="s">
        <v>2572</v>
      </c>
      <c r="L361" t="s">
        <v>2600</v>
      </c>
      <c r="M361" t="s">
        <v>2619</v>
      </c>
    </row>
    <row r="362" spans="1:14">
      <c r="A362" s="1">
        <f>HYPERLINK("https://lsnyc.legalserver.org/matter/dynamic-profile/view/1905102","19-1905102")</f>
        <v>0</v>
      </c>
      <c r="B362" t="s">
        <v>18</v>
      </c>
      <c r="C362" t="s">
        <v>35</v>
      </c>
      <c r="D362" t="s">
        <v>405</v>
      </c>
      <c r="E362" t="s">
        <v>2408</v>
      </c>
      <c r="F362" t="s">
        <v>2437</v>
      </c>
      <c r="J362" t="s">
        <v>2452</v>
      </c>
      <c r="K362" t="s">
        <v>2572</v>
      </c>
      <c r="L362" t="s">
        <v>2600</v>
      </c>
      <c r="M362" t="s">
        <v>2619</v>
      </c>
    </row>
    <row r="363" spans="1:14">
      <c r="A363" s="1">
        <f>HYPERLINK("https://lsnyc.legalserver.org/matter/dynamic-profile/view/1905132","19-1905132")</f>
        <v>0</v>
      </c>
      <c r="B363" t="s">
        <v>15</v>
      </c>
      <c r="C363" t="s">
        <v>22</v>
      </c>
      <c r="D363" t="s">
        <v>407</v>
      </c>
      <c r="E363" t="s">
        <v>2374</v>
      </c>
      <c r="F363" t="s">
        <v>2438</v>
      </c>
      <c r="G363" t="s">
        <v>2444</v>
      </c>
      <c r="J363" t="s">
        <v>2465</v>
      </c>
      <c r="K363" t="s">
        <v>2569</v>
      </c>
      <c r="M363" t="s">
        <v>2616</v>
      </c>
    </row>
    <row r="364" spans="1:14">
      <c r="A364" s="1">
        <f>HYPERLINK("https://lsnyc.legalserver.org/matter/dynamic-profile/view/1905139","19-1905139")</f>
        <v>0</v>
      </c>
      <c r="B364" t="s">
        <v>14</v>
      </c>
      <c r="C364" t="s">
        <v>26</v>
      </c>
      <c r="D364" t="s">
        <v>91</v>
      </c>
      <c r="E364" t="s">
        <v>2374</v>
      </c>
      <c r="F364" t="s">
        <v>2438</v>
      </c>
      <c r="J364" t="s">
        <v>2448</v>
      </c>
      <c r="K364" t="s">
        <v>2569</v>
      </c>
      <c r="M364" t="s">
        <v>2616</v>
      </c>
      <c r="N364" t="s">
        <v>2648</v>
      </c>
    </row>
    <row r="365" spans="1:14">
      <c r="A365" s="1">
        <f>HYPERLINK("https://lsnyc.legalserver.org/matter/dynamic-profile/view/1905140","19-1905140")</f>
        <v>0</v>
      </c>
      <c r="B365" t="s">
        <v>14</v>
      </c>
      <c r="C365" t="s">
        <v>26</v>
      </c>
      <c r="D365" t="s">
        <v>92</v>
      </c>
      <c r="E365" t="s">
        <v>2374</v>
      </c>
      <c r="F365" t="s">
        <v>2438</v>
      </c>
      <c r="J365" t="s">
        <v>2451</v>
      </c>
      <c r="K365" t="s">
        <v>2573</v>
      </c>
      <c r="M365" t="s">
        <v>2616</v>
      </c>
      <c r="N365" t="s">
        <v>2648</v>
      </c>
    </row>
    <row r="366" spans="1:14">
      <c r="A366" s="1">
        <f>HYPERLINK("https://lsnyc.legalserver.org/matter/dynamic-profile/view/1905162","19-1905162")</f>
        <v>0</v>
      </c>
      <c r="B366" t="s">
        <v>16</v>
      </c>
      <c r="C366" t="s">
        <v>46</v>
      </c>
      <c r="D366" t="s">
        <v>408</v>
      </c>
      <c r="E366" t="s">
        <v>2387</v>
      </c>
      <c r="F366" t="s">
        <v>2437</v>
      </c>
      <c r="J366" t="s">
        <v>2498</v>
      </c>
      <c r="K366" t="s">
        <v>2586</v>
      </c>
      <c r="M366" t="s">
        <v>2629</v>
      </c>
    </row>
    <row r="367" spans="1:14">
      <c r="A367" s="1">
        <f>HYPERLINK("https://lsnyc.legalserver.org/matter/dynamic-profile/view/1904989","19-1904989")</f>
        <v>0</v>
      </c>
      <c r="B367" t="s">
        <v>18</v>
      </c>
      <c r="C367" t="s">
        <v>35</v>
      </c>
      <c r="D367" t="s">
        <v>409</v>
      </c>
      <c r="E367" t="s">
        <v>2393</v>
      </c>
      <c r="F367" t="s">
        <v>2437</v>
      </c>
      <c r="J367" t="s">
        <v>2499</v>
      </c>
      <c r="K367" t="s">
        <v>2572</v>
      </c>
      <c r="L367" t="s">
        <v>2603</v>
      </c>
      <c r="M367" t="s">
        <v>2637</v>
      </c>
    </row>
    <row r="368" spans="1:14">
      <c r="A368" s="1">
        <f>HYPERLINK("https://lsnyc.legalserver.org/matter/dynamic-profile/view/1904949","19-1904949")</f>
        <v>0</v>
      </c>
      <c r="B368" t="s">
        <v>14</v>
      </c>
      <c r="C368" t="s">
        <v>20</v>
      </c>
      <c r="D368" t="s">
        <v>410</v>
      </c>
      <c r="E368" t="s">
        <v>2376</v>
      </c>
      <c r="F368" t="s">
        <v>2437</v>
      </c>
      <c r="J368" t="s">
        <v>2450</v>
      </c>
      <c r="K368" t="s">
        <v>2569</v>
      </c>
      <c r="L368" t="s">
        <v>2603</v>
      </c>
      <c r="M368" t="s">
        <v>2618</v>
      </c>
      <c r="N368" t="s">
        <v>2649</v>
      </c>
    </row>
    <row r="369" spans="1:14">
      <c r="A369" s="1">
        <f>HYPERLINK("https://lsnyc.legalserver.org/matter/dynamic-profile/view/1904919","19-1904919")</f>
        <v>0</v>
      </c>
      <c r="B369" t="s">
        <v>15</v>
      </c>
      <c r="C369" t="s">
        <v>31</v>
      </c>
      <c r="D369" t="s">
        <v>411</v>
      </c>
      <c r="E369" t="s">
        <v>2376</v>
      </c>
      <c r="F369" t="s">
        <v>2437</v>
      </c>
      <c r="J369" t="s">
        <v>2455</v>
      </c>
      <c r="K369" t="s">
        <v>2569</v>
      </c>
      <c r="M369" t="s">
        <v>2618</v>
      </c>
    </row>
    <row r="370" spans="1:14">
      <c r="A370" s="1">
        <f>HYPERLINK("https://lsnyc.legalserver.org/matter/dynamic-profile/view/1904922","19-1904922")</f>
        <v>0</v>
      </c>
      <c r="B370" t="s">
        <v>14</v>
      </c>
      <c r="C370" t="s">
        <v>26</v>
      </c>
      <c r="D370" t="s">
        <v>213</v>
      </c>
      <c r="E370" t="s">
        <v>2374</v>
      </c>
      <c r="F370" t="s">
        <v>2438</v>
      </c>
      <c r="J370" t="s">
        <v>2450</v>
      </c>
      <c r="K370" t="s">
        <v>2569</v>
      </c>
      <c r="M370" t="s">
        <v>2616</v>
      </c>
      <c r="N370" t="s">
        <v>2649</v>
      </c>
    </row>
    <row r="371" spans="1:14">
      <c r="A371" s="1">
        <f>HYPERLINK("https://lsnyc.legalserver.org/matter/dynamic-profile/view/1904924","19-1904924")</f>
        <v>0</v>
      </c>
      <c r="B371" t="s">
        <v>14</v>
      </c>
      <c r="C371" t="s">
        <v>26</v>
      </c>
      <c r="D371" t="s">
        <v>214</v>
      </c>
      <c r="E371" t="s">
        <v>2374</v>
      </c>
      <c r="F371" t="s">
        <v>2438</v>
      </c>
      <c r="J371" t="s">
        <v>2450</v>
      </c>
      <c r="K371" t="s">
        <v>2569</v>
      </c>
      <c r="M371" t="s">
        <v>2616</v>
      </c>
      <c r="N371" t="s">
        <v>2649</v>
      </c>
    </row>
    <row r="372" spans="1:14">
      <c r="A372" s="1">
        <f>HYPERLINK("https://lsnyc.legalserver.org/matter/dynamic-profile/view/1904927","19-1904927")</f>
        <v>0</v>
      </c>
      <c r="B372" t="s">
        <v>15</v>
      </c>
      <c r="C372" t="s">
        <v>37</v>
      </c>
      <c r="D372" t="s">
        <v>412</v>
      </c>
      <c r="E372" t="s">
        <v>2396</v>
      </c>
      <c r="G372" t="s">
        <v>2444</v>
      </c>
      <c r="J372" t="s">
        <v>2463</v>
      </c>
      <c r="K372" t="s">
        <v>2575</v>
      </c>
      <c r="M372" t="s">
        <v>2633</v>
      </c>
    </row>
    <row r="373" spans="1:14">
      <c r="A373" s="1">
        <f>HYPERLINK("https://lsnyc.legalserver.org/matter/dynamic-profile/view/1904948","19-1904948")</f>
        <v>0</v>
      </c>
      <c r="B373" t="s">
        <v>15</v>
      </c>
      <c r="C373" t="s">
        <v>22</v>
      </c>
      <c r="D373" t="s">
        <v>413</v>
      </c>
      <c r="E373" t="s">
        <v>2374</v>
      </c>
      <c r="F373" t="s">
        <v>2438</v>
      </c>
      <c r="J373" t="s">
        <v>2460</v>
      </c>
      <c r="K373" t="s">
        <v>2572</v>
      </c>
      <c r="M373" t="s">
        <v>2616</v>
      </c>
    </row>
    <row r="374" spans="1:14">
      <c r="A374" s="1">
        <f>HYPERLINK("https://lsnyc.legalserver.org/matter/dynamic-profile/view/1905022","19-1905022")</f>
        <v>0</v>
      </c>
      <c r="B374" t="s">
        <v>15</v>
      </c>
      <c r="C374" t="s">
        <v>39</v>
      </c>
      <c r="D374" t="s">
        <v>414</v>
      </c>
      <c r="E374" t="s">
        <v>2409</v>
      </c>
      <c r="G374" t="s">
        <v>2444</v>
      </c>
      <c r="J374" t="s">
        <v>2450</v>
      </c>
      <c r="K374" t="s">
        <v>2569</v>
      </c>
      <c r="M374" t="s">
        <v>2624</v>
      </c>
    </row>
    <row r="375" spans="1:14">
      <c r="A375" s="1">
        <f>HYPERLINK("https://lsnyc.legalserver.org/matter/dynamic-profile/view/1905027","19-1905027")</f>
        <v>0</v>
      </c>
      <c r="B375" t="s">
        <v>15</v>
      </c>
      <c r="C375" t="s">
        <v>22</v>
      </c>
      <c r="D375" t="s">
        <v>415</v>
      </c>
      <c r="E375" t="s">
        <v>2403</v>
      </c>
      <c r="F375" t="s">
        <v>2441</v>
      </c>
      <c r="J375" t="s">
        <v>2450</v>
      </c>
      <c r="K375" t="s">
        <v>2569</v>
      </c>
      <c r="M375" t="s">
        <v>2639</v>
      </c>
      <c r="N375" t="s">
        <v>2649</v>
      </c>
    </row>
    <row r="376" spans="1:14">
      <c r="A376" s="1">
        <f>HYPERLINK("https://lsnyc.legalserver.org/matter/dynamic-profile/view/1905094","19-1905094")</f>
        <v>0</v>
      </c>
      <c r="B376" t="s">
        <v>15</v>
      </c>
      <c r="C376" t="s">
        <v>30</v>
      </c>
      <c r="D376" t="s">
        <v>416</v>
      </c>
      <c r="E376" t="s">
        <v>2383</v>
      </c>
      <c r="F376" t="s">
        <v>2437</v>
      </c>
      <c r="J376" t="s">
        <v>2488</v>
      </c>
      <c r="K376" t="s">
        <v>2569</v>
      </c>
      <c r="M376" t="s">
        <v>2624</v>
      </c>
    </row>
    <row r="377" spans="1:14">
      <c r="A377" s="1">
        <f>HYPERLINK("https://lsnyc.legalserver.org/matter/dynamic-profile/view/1904680","19-1904680")</f>
        <v>0</v>
      </c>
      <c r="B377" t="s">
        <v>15</v>
      </c>
      <c r="C377" t="s">
        <v>32</v>
      </c>
      <c r="D377" t="s">
        <v>417</v>
      </c>
      <c r="E377" t="s">
        <v>2374</v>
      </c>
      <c r="F377" t="s">
        <v>2438</v>
      </c>
      <c r="J377" t="s">
        <v>2449</v>
      </c>
      <c r="K377" t="s">
        <v>2569</v>
      </c>
      <c r="M377" t="s">
        <v>2616</v>
      </c>
      <c r="N377" t="s">
        <v>2649</v>
      </c>
    </row>
    <row r="378" spans="1:14">
      <c r="A378" s="1">
        <f>HYPERLINK("https://lsnyc.legalserver.org/matter/dynamic-profile/view/1904782","19-1904782")</f>
        <v>0</v>
      </c>
      <c r="B378" t="s">
        <v>17</v>
      </c>
      <c r="C378" t="s">
        <v>36</v>
      </c>
      <c r="D378" t="s">
        <v>418</v>
      </c>
      <c r="E378" t="s">
        <v>2406</v>
      </c>
      <c r="G378" t="s">
        <v>2444</v>
      </c>
      <c r="K378" t="s">
        <v>2569</v>
      </c>
      <c r="M378" t="s">
        <v>2642</v>
      </c>
    </row>
    <row r="379" spans="1:14">
      <c r="A379" s="1">
        <f>HYPERLINK("https://lsnyc.legalserver.org/matter/dynamic-profile/view/1904806","19-1904806")</f>
        <v>0</v>
      </c>
      <c r="B379" t="s">
        <v>17</v>
      </c>
      <c r="C379" t="s">
        <v>36</v>
      </c>
      <c r="D379" t="s">
        <v>419</v>
      </c>
      <c r="E379" t="s">
        <v>2377</v>
      </c>
      <c r="F379" t="s">
        <v>2441</v>
      </c>
      <c r="G379" t="s">
        <v>2444</v>
      </c>
      <c r="K379" t="s">
        <v>2569</v>
      </c>
      <c r="M379" t="s">
        <v>2614</v>
      </c>
    </row>
    <row r="380" spans="1:14">
      <c r="A380" s="1">
        <f>HYPERLINK("https://lsnyc.legalserver.org/matter/dynamic-profile/view/1904813","19-1904813")</f>
        <v>0</v>
      </c>
      <c r="B380" t="s">
        <v>17</v>
      </c>
      <c r="C380" t="s">
        <v>36</v>
      </c>
      <c r="D380" t="s">
        <v>420</v>
      </c>
      <c r="E380" t="s">
        <v>2377</v>
      </c>
      <c r="F380" t="s">
        <v>2441</v>
      </c>
      <c r="G380" t="s">
        <v>2444</v>
      </c>
      <c r="K380" t="s">
        <v>2569</v>
      </c>
      <c r="M380" t="s">
        <v>2614</v>
      </c>
    </row>
    <row r="381" spans="1:14">
      <c r="A381" s="1">
        <f>HYPERLINK("https://lsnyc.legalserver.org/matter/dynamic-profile/view/1904844","19-1904844")</f>
        <v>0</v>
      </c>
      <c r="B381" t="s">
        <v>17</v>
      </c>
      <c r="C381" t="s">
        <v>36</v>
      </c>
      <c r="D381" t="s">
        <v>421</v>
      </c>
      <c r="E381" t="s">
        <v>2376</v>
      </c>
      <c r="F381" t="s">
        <v>2437</v>
      </c>
      <c r="G381" t="s">
        <v>2444</v>
      </c>
      <c r="M381" t="s">
        <v>2618</v>
      </c>
    </row>
    <row r="382" spans="1:14">
      <c r="A382" s="1">
        <f>HYPERLINK("https://lsnyc.legalserver.org/matter/dynamic-profile/view/1904845","19-1904845")</f>
        <v>0</v>
      </c>
      <c r="B382" t="s">
        <v>17</v>
      </c>
      <c r="C382" t="s">
        <v>36</v>
      </c>
      <c r="D382" t="s">
        <v>422</v>
      </c>
      <c r="E382" t="s">
        <v>2376</v>
      </c>
      <c r="F382" t="s">
        <v>2437</v>
      </c>
      <c r="G382" t="s">
        <v>2444</v>
      </c>
      <c r="M382" t="s">
        <v>2618</v>
      </c>
    </row>
    <row r="383" spans="1:14">
      <c r="A383" s="1">
        <f>HYPERLINK("https://lsnyc.legalserver.org/matter/dynamic-profile/view/1904550","19-1904550")</f>
        <v>0</v>
      </c>
      <c r="B383" t="s">
        <v>19</v>
      </c>
      <c r="C383" t="s">
        <v>38</v>
      </c>
      <c r="D383" t="s">
        <v>423</v>
      </c>
      <c r="E383" t="s">
        <v>2376</v>
      </c>
      <c r="F383" t="s">
        <v>2437</v>
      </c>
      <c r="J383" t="s">
        <v>2500</v>
      </c>
      <c r="L383" t="s">
        <v>2600</v>
      </c>
      <c r="M383" t="s">
        <v>2618</v>
      </c>
      <c r="N383" t="s">
        <v>2648</v>
      </c>
    </row>
    <row r="384" spans="1:14">
      <c r="A384" s="1">
        <f>HYPERLINK("https://lsnyc.legalserver.org/matter/dynamic-profile/view/1904531","19-1904531")</f>
        <v>0</v>
      </c>
      <c r="B384" t="s">
        <v>18</v>
      </c>
      <c r="C384" t="s">
        <v>35</v>
      </c>
      <c r="D384" t="s">
        <v>424</v>
      </c>
      <c r="E384" t="s">
        <v>2390</v>
      </c>
      <c r="F384" t="s">
        <v>2439</v>
      </c>
      <c r="J384" t="s">
        <v>2447</v>
      </c>
      <c r="K384" t="s">
        <v>2572</v>
      </c>
      <c r="L384" t="s">
        <v>2601</v>
      </c>
      <c r="M384" t="s">
        <v>2631</v>
      </c>
    </row>
    <row r="385" spans="1:14">
      <c r="A385" s="1">
        <f>HYPERLINK("https://lsnyc.legalserver.org/matter/dynamic-profile/view/1904507","19-1904507")</f>
        <v>0</v>
      </c>
      <c r="B385" t="s">
        <v>15</v>
      </c>
      <c r="C385" t="s">
        <v>30</v>
      </c>
      <c r="D385" t="s">
        <v>425</v>
      </c>
      <c r="E385" t="s">
        <v>2374</v>
      </c>
      <c r="F385" t="s">
        <v>2438</v>
      </c>
      <c r="J385" t="s">
        <v>2448</v>
      </c>
      <c r="K385" t="s">
        <v>2569</v>
      </c>
      <c r="M385" t="s">
        <v>2616</v>
      </c>
    </row>
    <row r="386" spans="1:14">
      <c r="A386" s="1">
        <f>HYPERLINK("https://lsnyc.legalserver.org/matter/dynamic-profile/view/1904516","19-1904516")</f>
        <v>0</v>
      </c>
      <c r="B386" t="s">
        <v>18</v>
      </c>
      <c r="C386" t="s">
        <v>35</v>
      </c>
      <c r="D386" t="s">
        <v>426</v>
      </c>
      <c r="E386" t="s">
        <v>2390</v>
      </c>
      <c r="F386" t="s">
        <v>2437</v>
      </c>
      <c r="J386" t="s">
        <v>2501</v>
      </c>
      <c r="K386" t="s">
        <v>2572</v>
      </c>
      <c r="L386" t="s">
        <v>2600</v>
      </c>
      <c r="M386" t="s">
        <v>2619</v>
      </c>
    </row>
    <row r="387" spans="1:14">
      <c r="A387" s="1">
        <f>HYPERLINK("https://lsnyc.legalserver.org/matter/dynamic-profile/view/1904547","19-1904547")</f>
        <v>0</v>
      </c>
      <c r="B387" t="s">
        <v>18</v>
      </c>
      <c r="C387" t="s">
        <v>35</v>
      </c>
      <c r="D387" t="s">
        <v>427</v>
      </c>
      <c r="E387" t="s">
        <v>2390</v>
      </c>
      <c r="F387" t="s">
        <v>2437</v>
      </c>
      <c r="J387" t="s">
        <v>2448</v>
      </c>
      <c r="K387" t="s">
        <v>2569</v>
      </c>
      <c r="M387" t="s">
        <v>2619</v>
      </c>
    </row>
    <row r="388" spans="1:14">
      <c r="A388" s="1">
        <f>HYPERLINK("https://lsnyc.legalserver.org/matter/dynamic-profile/view/1904549","19-1904549")</f>
        <v>0</v>
      </c>
      <c r="B388" t="s">
        <v>15</v>
      </c>
      <c r="C388" t="s">
        <v>22</v>
      </c>
      <c r="D388" t="s">
        <v>228</v>
      </c>
      <c r="E388" t="s">
        <v>2391</v>
      </c>
      <c r="F388" t="s">
        <v>2437</v>
      </c>
      <c r="J388" t="s">
        <v>2457</v>
      </c>
      <c r="K388" t="s">
        <v>2569</v>
      </c>
      <c r="M388" t="s">
        <v>2615</v>
      </c>
      <c r="N388" t="s">
        <v>2648</v>
      </c>
    </row>
    <row r="389" spans="1:14">
      <c r="A389" s="1">
        <f>HYPERLINK("https://lsnyc.legalserver.org/matter/dynamic-profile/view/1904571","19-1904571")</f>
        <v>0</v>
      </c>
      <c r="B389" t="s">
        <v>15</v>
      </c>
      <c r="C389" t="s">
        <v>22</v>
      </c>
      <c r="D389" t="s">
        <v>192</v>
      </c>
      <c r="E389" t="s">
        <v>2374</v>
      </c>
      <c r="F389" t="s">
        <v>2438</v>
      </c>
      <c r="J389" t="s">
        <v>2449</v>
      </c>
      <c r="K389" t="s">
        <v>2569</v>
      </c>
      <c r="M389" t="s">
        <v>2616</v>
      </c>
    </row>
    <row r="390" spans="1:14">
      <c r="A390" s="1">
        <f>HYPERLINK("https://lsnyc.legalserver.org/matter/dynamic-profile/view/1904616","19-1904616")</f>
        <v>0</v>
      </c>
      <c r="B390" t="s">
        <v>15</v>
      </c>
      <c r="C390" t="s">
        <v>22</v>
      </c>
      <c r="D390" t="s">
        <v>428</v>
      </c>
      <c r="E390" t="s">
        <v>2396</v>
      </c>
      <c r="F390" t="s">
        <v>2437</v>
      </c>
      <c r="J390" t="s">
        <v>2502</v>
      </c>
      <c r="K390" t="s">
        <v>2578</v>
      </c>
      <c r="M390" t="s">
        <v>2633</v>
      </c>
    </row>
    <row r="391" spans="1:14">
      <c r="A391" s="1">
        <f>HYPERLINK("https://lsnyc.legalserver.org/matter/dynamic-profile/view/1904410","19-1904410")</f>
        <v>0</v>
      </c>
      <c r="B391" t="s">
        <v>19</v>
      </c>
      <c r="C391" t="s">
        <v>47</v>
      </c>
      <c r="D391" t="s">
        <v>429</v>
      </c>
      <c r="E391" t="s">
        <v>2376</v>
      </c>
      <c r="F391" t="s">
        <v>2437</v>
      </c>
      <c r="J391" t="s">
        <v>2460</v>
      </c>
      <c r="K391" t="s">
        <v>2572</v>
      </c>
      <c r="L391" t="s">
        <v>2605</v>
      </c>
      <c r="M391" t="s">
        <v>2618</v>
      </c>
      <c r="N391" t="s">
        <v>2648</v>
      </c>
    </row>
    <row r="392" spans="1:14">
      <c r="A392" s="1">
        <f>HYPERLINK("https://lsnyc.legalserver.org/matter/dynamic-profile/view/1904416","19-1904416")</f>
        <v>0</v>
      </c>
      <c r="B392" t="s">
        <v>19</v>
      </c>
      <c r="C392" t="s">
        <v>47</v>
      </c>
      <c r="D392" t="s">
        <v>430</v>
      </c>
      <c r="E392" t="s">
        <v>2376</v>
      </c>
      <c r="F392" t="s">
        <v>2437</v>
      </c>
      <c r="J392" t="s">
        <v>2453</v>
      </c>
      <c r="K392" t="s">
        <v>2587</v>
      </c>
      <c r="L392" t="s">
        <v>2602</v>
      </c>
      <c r="M392" t="s">
        <v>2631</v>
      </c>
    </row>
    <row r="393" spans="1:14">
      <c r="A393" s="1">
        <f>HYPERLINK("https://lsnyc.legalserver.org/matter/dynamic-profile/view/1904397","19-1904397")</f>
        <v>0</v>
      </c>
      <c r="B393" t="s">
        <v>19</v>
      </c>
      <c r="C393" t="s">
        <v>47</v>
      </c>
      <c r="D393" t="s">
        <v>431</v>
      </c>
      <c r="E393" t="s">
        <v>2392</v>
      </c>
      <c r="F393" t="s">
        <v>2437</v>
      </c>
      <c r="J393" t="s">
        <v>2449</v>
      </c>
      <c r="K393" t="s">
        <v>2569</v>
      </c>
      <c r="L393" t="s">
        <v>2605</v>
      </c>
      <c r="M393" t="s">
        <v>2630</v>
      </c>
      <c r="N393" t="s">
        <v>2649</v>
      </c>
    </row>
    <row r="394" spans="1:14">
      <c r="A394" s="1">
        <f>HYPERLINK("https://lsnyc.legalserver.org/matter/dynamic-profile/view/1903733","19-1903733")</f>
        <v>0</v>
      </c>
      <c r="B394" t="s">
        <v>18</v>
      </c>
      <c r="C394" t="s">
        <v>45</v>
      </c>
      <c r="D394" t="s">
        <v>263</v>
      </c>
      <c r="E394" t="s">
        <v>2376</v>
      </c>
      <c r="J394" t="s">
        <v>2481</v>
      </c>
      <c r="K394" t="s">
        <v>2569</v>
      </c>
      <c r="M394" t="s">
        <v>2618</v>
      </c>
    </row>
    <row r="395" spans="1:14">
      <c r="A395" s="1">
        <f>HYPERLINK("https://lsnyc.legalserver.org/matter/dynamic-profile/view/1904368","19-1904368")</f>
        <v>0</v>
      </c>
      <c r="B395" t="s">
        <v>15</v>
      </c>
      <c r="C395" t="s">
        <v>39</v>
      </c>
      <c r="D395" t="s">
        <v>432</v>
      </c>
      <c r="E395" t="s">
        <v>2373</v>
      </c>
      <c r="F395" t="s">
        <v>2441</v>
      </c>
      <c r="J395" t="s">
        <v>2465</v>
      </c>
      <c r="K395" t="s">
        <v>2569</v>
      </c>
      <c r="M395" t="s">
        <v>2615</v>
      </c>
    </row>
    <row r="396" spans="1:14">
      <c r="A396" s="1">
        <f>HYPERLINK("https://lsnyc.legalserver.org/matter/dynamic-profile/view/1904392","19-1904392")</f>
        <v>0</v>
      </c>
      <c r="B396" t="s">
        <v>19</v>
      </c>
      <c r="C396" t="s">
        <v>47</v>
      </c>
      <c r="D396" t="s">
        <v>433</v>
      </c>
      <c r="E396" t="s">
        <v>2373</v>
      </c>
      <c r="F396" t="s">
        <v>2441</v>
      </c>
      <c r="J396" t="s">
        <v>2452</v>
      </c>
      <c r="K396" t="s">
        <v>2572</v>
      </c>
      <c r="M396" t="s">
        <v>2615</v>
      </c>
      <c r="N396" t="s">
        <v>2648</v>
      </c>
    </row>
    <row r="397" spans="1:14">
      <c r="A397" s="1">
        <f>HYPERLINK("https://lsnyc.legalserver.org/matter/dynamic-profile/view/1904406","19-1904406")</f>
        <v>0</v>
      </c>
      <c r="B397" t="s">
        <v>18</v>
      </c>
      <c r="C397" t="s">
        <v>45</v>
      </c>
      <c r="D397" t="s">
        <v>263</v>
      </c>
      <c r="E397" t="s">
        <v>2394</v>
      </c>
      <c r="J397" t="s">
        <v>2481</v>
      </c>
      <c r="K397" t="s">
        <v>2569</v>
      </c>
      <c r="M397" t="s">
        <v>2627</v>
      </c>
    </row>
    <row r="398" spans="1:14">
      <c r="A398" s="1">
        <f>HYPERLINK("https://lsnyc.legalserver.org/matter/dynamic-profile/view/1904407","19-1904407")</f>
        <v>0</v>
      </c>
      <c r="B398" t="s">
        <v>19</v>
      </c>
      <c r="C398" t="s">
        <v>47</v>
      </c>
      <c r="D398" t="s">
        <v>434</v>
      </c>
      <c r="E398" t="s">
        <v>2410</v>
      </c>
      <c r="F398" t="s">
        <v>2437</v>
      </c>
      <c r="J398" t="s">
        <v>2452</v>
      </c>
      <c r="K398" t="s">
        <v>2572</v>
      </c>
      <c r="M398" t="s">
        <v>2619</v>
      </c>
      <c r="N398" t="s">
        <v>2648</v>
      </c>
    </row>
    <row r="399" spans="1:14">
      <c r="A399" s="1">
        <f>HYPERLINK("https://lsnyc.legalserver.org/matter/dynamic-profile/view/1904418","19-1904418")</f>
        <v>0</v>
      </c>
      <c r="B399" t="s">
        <v>18</v>
      </c>
      <c r="C399" t="s">
        <v>27</v>
      </c>
      <c r="D399" t="s">
        <v>435</v>
      </c>
      <c r="E399" t="s">
        <v>2407</v>
      </c>
      <c r="F399" t="s">
        <v>2437</v>
      </c>
      <c r="J399" t="s">
        <v>2503</v>
      </c>
      <c r="K399" t="s">
        <v>2572</v>
      </c>
      <c r="L399" t="s">
        <v>2600</v>
      </c>
      <c r="M399" t="s">
        <v>2626</v>
      </c>
    </row>
    <row r="400" spans="1:14">
      <c r="A400" s="1">
        <f>HYPERLINK("https://lsnyc.legalserver.org/matter/dynamic-profile/view/1904429","19-1904429")</f>
        <v>0</v>
      </c>
      <c r="B400" t="s">
        <v>18</v>
      </c>
      <c r="C400" t="s">
        <v>45</v>
      </c>
      <c r="D400" t="s">
        <v>263</v>
      </c>
      <c r="E400" t="s">
        <v>2411</v>
      </c>
      <c r="J400" t="s">
        <v>2481</v>
      </c>
      <c r="K400" t="s">
        <v>2572</v>
      </c>
      <c r="M400" t="s">
        <v>2627</v>
      </c>
    </row>
    <row r="401" spans="1:14">
      <c r="A401" s="1">
        <f>HYPERLINK("https://lsnyc.legalserver.org/matter/dynamic-profile/view/1904253","19-1904253")</f>
        <v>0</v>
      </c>
      <c r="B401" t="s">
        <v>14</v>
      </c>
      <c r="C401" t="s">
        <v>20</v>
      </c>
      <c r="D401" t="s">
        <v>436</v>
      </c>
      <c r="E401" t="s">
        <v>2376</v>
      </c>
      <c r="F401" t="s">
        <v>2437</v>
      </c>
      <c r="J401" t="s">
        <v>2504</v>
      </c>
      <c r="K401" t="s">
        <v>2579</v>
      </c>
      <c r="L401" t="s">
        <v>2605</v>
      </c>
      <c r="M401" t="s">
        <v>2618</v>
      </c>
    </row>
    <row r="402" spans="1:14">
      <c r="A402" s="1">
        <f>HYPERLINK("https://lsnyc.legalserver.org/matter/dynamic-profile/view/1904356","19-1904356")</f>
        <v>0</v>
      </c>
      <c r="B402" t="s">
        <v>18</v>
      </c>
      <c r="C402" t="s">
        <v>27</v>
      </c>
      <c r="D402" t="s">
        <v>437</v>
      </c>
      <c r="E402" t="s">
        <v>2370</v>
      </c>
      <c r="F402" t="s">
        <v>2440</v>
      </c>
      <c r="J402" t="s">
        <v>2505</v>
      </c>
      <c r="K402" t="s">
        <v>2572</v>
      </c>
      <c r="M402" t="s">
        <v>2631</v>
      </c>
    </row>
    <row r="403" spans="1:14">
      <c r="A403" s="1">
        <f>HYPERLINK("https://lsnyc.legalserver.org/matter/dynamic-profile/view/1904172","19-1904172")</f>
        <v>0</v>
      </c>
      <c r="B403" t="s">
        <v>14</v>
      </c>
      <c r="C403" t="s">
        <v>26</v>
      </c>
      <c r="D403" t="s">
        <v>438</v>
      </c>
      <c r="E403" t="s">
        <v>2376</v>
      </c>
      <c r="F403" t="s">
        <v>2437</v>
      </c>
      <c r="J403" t="s">
        <v>2450</v>
      </c>
      <c r="K403" t="s">
        <v>2569</v>
      </c>
      <c r="M403" t="s">
        <v>2618</v>
      </c>
      <c r="N403" t="s">
        <v>2649</v>
      </c>
    </row>
    <row r="404" spans="1:14">
      <c r="A404" s="1">
        <f>HYPERLINK("https://lsnyc.legalserver.org/matter/dynamic-profile/view/1905605","19-1905605")</f>
        <v>0</v>
      </c>
      <c r="B404" t="s">
        <v>15</v>
      </c>
      <c r="C404" t="s">
        <v>32</v>
      </c>
      <c r="D404" t="s">
        <v>439</v>
      </c>
      <c r="E404" t="s">
        <v>2374</v>
      </c>
      <c r="F404" t="s">
        <v>2438</v>
      </c>
      <c r="J404" t="s">
        <v>2450</v>
      </c>
      <c r="K404" t="s">
        <v>2569</v>
      </c>
      <c r="M404" t="s">
        <v>2616</v>
      </c>
    </row>
    <row r="405" spans="1:14">
      <c r="A405" s="1">
        <f>HYPERLINK("https://lsnyc.legalserver.org/matter/dynamic-profile/view/1907443","19-1907443")</f>
        <v>0</v>
      </c>
      <c r="B405" t="s">
        <v>15</v>
      </c>
      <c r="C405" t="s">
        <v>39</v>
      </c>
      <c r="D405" t="s">
        <v>440</v>
      </c>
      <c r="E405" t="s">
        <v>2374</v>
      </c>
      <c r="F405" t="s">
        <v>2438</v>
      </c>
      <c r="G405" t="s">
        <v>2444</v>
      </c>
      <c r="J405" t="s">
        <v>2457</v>
      </c>
      <c r="K405" t="s">
        <v>2569</v>
      </c>
      <c r="M405" t="s">
        <v>2616</v>
      </c>
    </row>
    <row r="406" spans="1:14">
      <c r="A406" s="1">
        <f>HYPERLINK("https://lsnyc.legalserver.org/matter/dynamic-profile/view/1910127","19-1910127")</f>
        <v>0</v>
      </c>
      <c r="B406" t="s">
        <v>19</v>
      </c>
      <c r="C406" t="s">
        <v>50</v>
      </c>
      <c r="D406" t="s">
        <v>441</v>
      </c>
      <c r="E406" t="s">
        <v>2376</v>
      </c>
      <c r="F406" t="s">
        <v>2437</v>
      </c>
      <c r="J406" t="s">
        <v>2490</v>
      </c>
      <c r="K406" t="s">
        <v>2572</v>
      </c>
      <c r="L406" t="s">
        <v>2600</v>
      </c>
      <c r="M406" t="s">
        <v>2626</v>
      </c>
      <c r="N406" t="s">
        <v>2648</v>
      </c>
    </row>
    <row r="407" spans="1:14">
      <c r="A407" s="1">
        <f>HYPERLINK("https://lsnyc.legalserver.org/matter/dynamic-profile/view/1904091","19-1904091")</f>
        <v>0</v>
      </c>
      <c r="B407" t="s">
        <v>19</v>
      </c>
      <c r="C407" t="s">
        <v>47</v>
      </c>
      <c r="D407" t="s">
        <v>442</v>
      </c>
      <c r="E407" t="s">
        <v>2376</v>
      </c>
      <c r="F407" t="s">
        <v>2437</v>
      </c>
      <c r="J407" t="s">
        <v>2488</v>
      </c>
      <c r="K407" t="s">
        <v>2569</v>
      </c>
      <c r="L407" t="s">
        <v>2600</v>
      </c>
      <c r="M407" t="s">
        <v>2618</v>
      </c>
    </row>
    <row r="408" spans="1:14">
      <c r="A408" s="1">
        <f>HYPERLINK("https://lsnyc.legalserver.org/matter/dynamic-profile/view/1904109","19-1904109")</f>
        <v>0</v>
      </c>
      <c r="B408" t="s">
        <v>19</v>
      </c>
      <c r="C408" t="s">
        <v>48</v>
      </c>
      <c r="D408" t="s">
        <v>443</v>
      </c>
      <c r="E408" t="s">
        <v>2406</v>
      </c>
      <c r="F408" t="s">
        <v>2437</v>
      </c>
      <c r="J408" t="s">
        <v>2457</v>
      </c>
      <c r="K408" t="s">
        <v>2572</v>
      </c>
      <c r="L408" t="s">
        <v>2600</v>
      </c>
      <c r="M408" t="s">
        <v>2642</v>
      </c>
    </row>
    <row r="409" spans="1:14">
      <c r="A409" s="1">
        <f>HYPERLINK("https://lsnyc.legalserver.org/matter/dynamic-profile/view/1903948","19-1903948")</f>
        <v>0</v>
      </c>
      <c r="B409" t="s">
        <v>17</v>
      </c>
      <c r="C409" t="s">
        <v>56</v>
      </c>
      <c r="D409" t="s">
        <v>444</v>
      </c>
      <c r="E409" t="s">
        <v>2376</v>
      </c>
      <c r="F409" t="s">
        <v>2437</v>
      </c>
      <c r="G409" t="s">
        <v>2444</v>
      </c>
      <c r="K409" t="s">
        <v>2569</v>
      </c>
      <c r="M409" t="s">
        <v>2618</v>
      </c>
    </row>
    <row r="410" spans="1:14">
      <c r="A410" s="1">
        <f>HYPERLINK("https://lsnyc.legalserver.org/matter/dynamic-profile/view/1904045","19-1904045")</f>
        <v>0</v>
      </c>
      <c r="B410" t="s">
        <v>17</v>
      </c>
      <c r="C410" t="s">
        <v>28</v>
      </c>
      <c r="D410" t="s">
        <v>445</v>
      </c>
      <c r="E410" t="s">
        <v>2376</v>
      </c>
      <c r="F410" t="s">
        <v>2437</v>
      </c>
      <c r="G410" t="s">
        <v>2444</v>
      </c>
      <c r="K410" t="s">
        <v>2569</v>
      </c>
      <c r="M410" t="s">
        <v>2618</v>
      </c>
    </row>
    <row r="411" spans="1:14">
      <c r="A411" s="1">
        <f>HYPERLINK("https://lsnyc.legalserver.org/matter/dynamic-profile/view/1903811","19-1903811")</f>
        <v>0</v>
      </c>
      <c r="B411" t="s">
        <v>15</v>
      </c>
      <c r="C411" t="s">
        <v>39</v>
      </c>
      <c r="D411" t="s">
        <v>446</v>
      </c>
      <c r="E411" t="s">
        <v>2374</v>
      </c>
      <c r="F411" t="s">
        <v>2439</v>
      </c>
      <c r="J411" t="s">
        <v>2450</v>
      </c>
      <c r="K411" t="s">
        <v>2569</v>
      </c>
      <c r="L411" t="s">
        <v>2601</v>
      </c>
      <c r="M411" t="s">
        <v>2631</v>
      </c>
    </row>
    <row r="412" spans="1:14">
      <c r="A412" s="1">
        <f>HYPERLINK("https://lsnyc.legalserver.org/matter/dynamic-profile/view/1903820","19-1903820")</f>
        <v>0</v>
      </c>
      <c r="B412" t="s">
        <v>18</v>
      </c>
      <c r="C412" t="s">
        <v>34</v>
      </c>
      <c r="D412" t="s">
        <v>447</v>
      </c>
      <c r="E412" t="s">
        <v>2376</v>
      </c>
      <c r="F412" t="s">
        <v>2437</v>
      </c>
      <c r="J412" t="s">
        <v>2455</v>
      </c>
      <c r="K412" t="s">
        <v>2569</v>
      </c>
      <c r="L412" t="s">
        <v>2605</v>
      </c>
      <c r="M412" t="s">
        <v>2618</v>
      </c>
    </row>
    <row r="413" spans="1:14">
      <c r="A413" s="1">
        <f>HYPERLINK("https://lsnyc.legalserver.org/matter/dynamic-profile/view/1903724","19-1903724")</f>
        <v>0</v>
      </c>
      <c r="B413" t="s">
        <v>18</v>
      </c>
      <c r="C413" t="s">
        <v>45</v>
      </c>
      <c r="D413" t="s">
        <v>263</v>
      </c>
      <c r="E413" t="s">
        <v>2412</v>
      </c>
      <c r="J413" t="s">
        <v>2481</v>
      </c>
      <c r="K413" t="s">
        <v>2569</v>
      </c>
      <c r="M413" t="s">
        <v>2616</v>
      </c>
    </row>
    <row r="414" spans="1:14">
      <c r="A414" s="1">
        <f>HYPERLINK("https://lsnyc.legalserver.org/matter/dynamic-profile/view/1903762","19-1903762")</f>
        <v>0</v>
      </c>
      <c r="B414" t="s">
        <v>14</v>
      </c>
      <c r="C414" t="s">
        <v>26</v>
      </c>
      <c r="D414" t="s">
        <v>448</v>
      </c>
      <c r="E414" t="s">
        <v>2389</v>
      </c>
      <c r="F414" t="s">
        <v>2441</v>
      </c>
      <c r="J414" t="s">
        <v>2465</v>
      </c>
      <c r="K414" t="s">
        <v>2569</v>
      </c>
      <c r="M414" t="s">
        <v>2614</v>
      </c>
      <c r="N414" t="s">
        <v>2648</v>
      </c>
    </row>
    <row r="415" spans="1:14">
      <c r="A415" s="1">
        <f>HYPERLINK("https://lsnyc.legalserver.org/matter/dynamic-profile/view/1904125","19-1904125")</f>
        <v>0</v>
      </c>
      <c r="B415" t="s">
        <v>15</v>
      </c>
      <c r="C415" t="s">
        <v>22</v>
      </c>
      <c r="D415" t="s">
        <v>449</v>
      </c>
      <c r="E415" t="s">
        <v>2374</v>
      </c>
      <c r="F415" t="s">
        <v>2438</v>
      </c>
      <c r="J415" t="s">
        <v>2465</v>
      </c>
      <c r="K415" t="s">
        <v>2569</v>
      </c>
      <c r="M415" t="s">
        <v>2616</v>
      </c>
    </row>
    <row r="416" spans="1:14">
      <c r="A416" s="1">
        <f>HYPERLINK("https://lsnyc.legalserver.org/matter/dynamic-profile/view/1903650","19-1903650")</f>
        <v>0</v>
      </c>
      <c r="B416" t="s">
        <v>19</v>
      </c>
      <c r="C416" t="s">
        <v>50</v>
      </c>
      <c r="D416" t="s">
        <v>450</v>
      </c>
      <c r="F416" t="s">
        <v>2439</v>
      </c>
      <c r="J416" t="s">
        <v>2450</v>
      </c>
      <c r="K416" t="s">
        <v>2569</v>
      </c>
      <c r="L416" t="s">
        <v>2602</v>
      </c>
      <c r="M416" t="s">
        <v>2631</v>
      </c>
      <c r="N416" t="s">
        <v>2649</v>
      </c>
    </row>
    <row r="417" spans="1:14">
      <c r="A417" s="1">
        <f>HYPERLINK("https://lsnyc.legalserver.org/matter/dynamic-profile/view/1903652","19-1903652")</f>
        <v>0</v>
      </c>
      <c r="B417" t="s">
        <v>18</v>
      </c>
      <c r="C417" t="s">
        <v>35</v>
      </c>
      <c r="D417" t="s">
        <v>276</v>
      </c>
      <c r="E417" t="s">
        <v>2385</v>
      </c>
      <c r="F417" t="s">
        <v>2438</v>
      </c>
      <c r="J417" t="s">
        <v>2449</v>
      </c>
      <c r="K417" t="s">
        <v>2569</v>
      </c>
      <c r="L417" t="s">
        <v>2600</v>
      </c>
      <c r="M417" t="s">
        <v>2616</v>
      </c>
    </row>
    <row r="418" spans="1:14">
      <c r="A418" s="1">
        <f>HYPERLINK("https://lsnyc.legalserver.org/matter/dynamic-profile/view/1903655","19-1903655")</f>
        <v>0</v>
      </c>
      <c r="B418" t="s">
        <v>15</v>
      </c>
      <c r="C418" t="s">
        <v>29</v>
      </c>
      <c r="D418" t="s">
        <v>451</v>
      </c>
      <c r="E418" t="s">
        <v>2370</v>
      </c>
      <c r="G418" t="s">
        <v>2444</v>
      </c>
      <c r="K418" t="s">
        <v>2569</v>
      </c>
      <c r="M418" t="s">
        <v>2638</v>
      </c>
    </row>
    <row r="419" spans="1:14">
      <c r="A419" s="1">
        <f>HYPERLINK("https://lsnyc.legalserver.org/matter/dynamic-profile/view/1903657","19-1903657")</f>
        <v>0</v>
      </c>
      <c r="B419" t="s">
        <v>17</v>
      </c>
      <c r="C419" t="s">
        <v>56</v>
      </c>
      <c r="D419" t="s">
        <v>452</v>
      </c>
      <c r="E419" t="s">
        <v>2381</v>
      </c>
      <c r="F419" t="s">
        <v>2437</v>
      </c>
      <c r="G419" t="s">
        <v>2444</v>
      </c>
      <c r="J419" t="s">
        <v>2459</v>
      </c>
      <c r="K419" t="s">
        <v>2572</v>
      </c>
      <c r="M419" t="s">
        <v>2622</v>
      </c>
    </row>
    <row r="420" spans="1:14">
      <c r="A420" s="1">
        <f>HYPERLINK("https://lsnyc.legalserver.org/matter/dynamic-profile/view/1904265","19-1904265")</f>
        <v>0</v>
      </c>
      <c r="B420" t="s">
        <v>18</v>
      </c>
      <c r="C420" t="s">
        <v>34</v>
      </c>
      <c r="D420" t="s">
        <v>453</v>
      </c>
      <c r="E420" t="s">
        <v>2374</v>
      </c>
      <c r="F420" t="s">
        <v>2438</v>
      </c>
      <c r="I420" t="s">
        <v>2446</v>
      </c>
      <c r="J420" t="s">
        <v>2450</v>
      </c>
      <c r="K420" t="s">
        <v>2569</v>
      </c>
      <c r="M420" t="s">
        <v>2616</v>
      </c>
    </row>
    <row r="421" spans="1:14">
      <c r="A421" s="1">
        <f>HYPERLINK("https://lsnyc.legalserver.org/matter/dynamic-profile/view/1904269","19-1904269")</f>
        <v>0</v>
      </c>
      <c r="B421" t="s">
        <v>18</v>
      </c>
      <c r="C421" t="s">
        <v>34</v>
      </c>
      <c r="D421" t="s">
        <v>453</v>
      </c>
      <c r="E421" t="s">
        <v>2385</v>
      </c>
      <c r="F421" t="s">
        <v>2438</v>
      </c>
      <c r="I421" t="s">
        <v>2446</v>
      </c>
      <c r="J421" t="s">
        <v>2450</v>
      </c>
      <c r="K421" t="s">
        <v>2569</v>
      </c>
      <c r="M421" t="s">
        <v>2616</v>
      </c>
    </row>
    <row r="422" spans="1:14">
      <c r="A422" s="1">
        <f>HYPERLINK("https://lsnyc.legalserver.org/matter/dynamic-profile/view/1904285","19-1904285")</f>
        <v>0</v>
      </c>
      <c r="B422" t="s">
        <v>18</v>
      </c>
      <c r="C422" t="s">
        <v>34</v>
      </c>
      <c r="D422" t="s">
        <v>453</v>
      </c>
      <c r="E422" t="s">
        <v>2373</v>
      </c>
      <c r="F422" t="s">
        <v>2438</v>
      </c>
      <c r="J422" t="s">
        <v>2450</v>
      </c>
      <c r="K422" t="s">
        <v>2569</v>
      </c>
      <c r="M422" t="s">
        <v>2615</v>
      </c>
    </row>
    <row r="423" spans="1:14">
      <c r="A423" s="1">
        <f>HYPERLINK("https://lsnyc.legalserver.org/matter/dynamic-profile/view/1904296","19-1904296")</f>
        <v>0</v>
      </c>
      <c r="B423" t="s">
        <v>18</v>
      </c>
      <c r="C423" t="s">
        <v>34</v>
      </c>
      <c r="D423" t="s">
        <v>454</v>
      </c>
      <c r="E423" t="s">
        <v>2373</v>
      </c>
      <c r="F423" t="s">
        <v>2438</v>
      </c>
      <c r="I423" t="s">
        <v>2446</v>
      </c>
      <c r="J423" t="s">
        <v>2487</v>
      </c>
      <c r="K423" t="s">
        <v>2582</v>
      </c>
      <c r="M423" t="s">
        <v>2615</v>
      </c>
    </row>
    <row r="424" spans="1:14">
      <c r="A424" s="1">
        <f>HYPERLINK("https://lsnyc.legalserver.org/matter/dynamic-profile/view/1904320","19-1904320")</f>
        <v>0</v>
      </c>
      <c r="B424" t="s">
        <v>18</v>
      </c>
      <c r="C424" t="s">
        <v>34</v>
      </c>
      <c r="D424" t="s">
        <v>455</v>
      </c>
      <c r="E424" t="s">
        <v>2374</v>
      </c>
      <c r="F424" t="s">
        <v>2438</v>
      </c>
      <c r="I424" t="s">
        <v>2446</v>
      </c>
      <c r="J424" t="s">
        <v>2450</v>
      </c>
      <c r="K424" t="s">
        <v>2569</v>
      </c>
      <c r="M424" t="s">
        <v>2616</v>
      </c>
    </row>
    <row r="425" spans="1:14">
      <c r="A425" s="1">
        <f>HYPERLINK("https://lsnyc.legalserver.org/matter/dynamic-profile/view/1904323","19-1904323")</f>
        <v>0</v>
      </c>
      <c r="B425" t="s">
        <v>18</v>
      </c>
      <c r="C425" t="s">
        <v>34</v>
      </c>
      <c r="D425" t="s">
        <v>455</v>
      </c>
      <c r="E425" t="s">
        <v>2385</v>
      </c>
      <c r="F425" t="s">
        <v>2438</v>
      </c>
      <c r="I425" t="s">
        <v>2446</v>
      </c>
      <c r="J425" t="s">
        <v>2450</v>
      </c>
      <c r="K425" t="s">
        <v>2569</v>
      </c>
      <c r="M425" t="s">
        <v>2616</v>
      </c>
    </row>
    <row r="426" spans="1:14">
      <c r="A426" s="1">
        <f>HYPERLINK("https://lsnyc.legalserver.org/matter/dynamic-profile/view/1904336","19-1904336")</f>
        <v>0</v>
      </c>
      <c r="B426" t="s">
        <v>18</v>
      </c>
      <c r="C426" t="s">
        <v>34</v>
      </c>
      <c r="D426" t="s">
        <v>455</v>
      </c>
      <c r="E426" t="s">
        <v>2373</v>
      </c>
      <c r="F426" t="s">
        <v>2438</v>
      </c>
      <c r="I426" t="s">
        <v>2446</v>
      </c>
      <c r="J426" t="s">
        <v>2450</v>
      </c>
      <c r="K426" t="s">
        <v>2569</v>
      </c>
      <c r="M426" t="s">
        <v>2615</v>
      </c>
    </row>
    <row r="427" spans="1:14">
      <c r="A427" s="1">
        <f>HYPERLINK("https://lsnyc.legalserver.org/matter/dynamic-profile/view/1904349","19-1904349")</f>
        <v>0</v>
      </c>
      <c r="B427" t="s">
        <v>18</v>
      </c>
      <c r="C427" t="s">
        <v>34</v>
      </c>
      <c r="D427" t="s">
        <v>456</v>
      </c>
      <c r="E427" t="s">
        <v>2374</v>
      </c>
      <c r="F427" t="s">
        <v>2438</v>
      </c>
      <c r="I427" t="s">
        <v>2446</v>
      </c>
      <c r="J427" t="s">
        <v>2450</v>
      </c>
      <c r="K427" t="s">
        <v>2569</v>
      </c>
      <c r="M427" t="s">
        <v>2616</v>
      </c>
    </row>
    <row r="428" spans="1:14">
      <c r="A428" s="1">
        <f>HYPERLINK("https://lsnyc.legalserver.org/matter/dynamic-profile/view/1904352","19-1904352")</f>
        <v>0</v>
      </c>
      <c r="B428" t="s">
        <v>18</v>
      </c>
      <c r="C428" t="s">
        <v>34</v>
      </c>
      <c r="D428" t="s">
        <v>456</v>
      </c>
      <c r="E428" t="s">
        <v>2385</v>
      </c>
      <c r="F428" t="s">
        <v>2438</v>
      </c>
      <c r="I428" t="s">
        <v>2446</v>
      </c>
      <c r="J428" t="s">
        <v>2450</v>
      </c>
      <c r="K428" t="s">
        <v>2569</v>
      </c>
      <c r="M428" t="s">
        <v>2616</v>
      </c>
    </row>
    <row r="429" spans="1:14">
      <c r="A429" s="1">
        <f>HYPERLINK("https://lsnyc.legalserver.org/matter/dynamic-profile/view/1904353","19-1904353")</f>
        <v>0</v>
      </c>
      <c r="B429" t="s">
        <v>18</v>
      </c>
      <c r="C429" t="s">
        <v>34</v>
      </c>
      <c r="D429" t="s">
        <v>456</v>
      </c>
      <c r="E429" t="s">
        <v>2373</v>
      </c>
      <c r="F429" t="s">
        <v>2438</v>
      </c>
      <c r="I429" t="s">
        <v>2446</v>
      </c>
      <c r="J429" t="s">
        <v>2450</v>
      </c>
      <c r="K429" t="s">
        <v>2569</v>
      </c>
      <c r="M429" t="s">
        <v>2615</v>
      </c>
    </row>
    <row r="430" spans="1:14">
      <c r="A430" s="1">
        <f>HYPERLINK("https://lsnyc.legalserver.org/matter/dynamic-profile/view/1903582","19-1903582")</f>
        <v>0</v>
      </c>
      <c r="B430" t="s">
        <v>19</v>
      </c>
      <c r="C430" t="s">
        <v>50</v>
      </c>
      <c r="D430" t="s">
        <v>243</v>
      </c>
      <c r="E430" t="s">
        <v>2374</v>
      </c>
      <c r="F430" t="s">
        <v>2438</v>
      </c>
      <c r="J430" t="s">
        <v>2449</v>
      </c>
      <c r="K430" t="s">
        <v>2569</v>
      </c>
      <c r="M430" t="s">
        <v>2616</v>
      </c>
    </row>
    <row r="431" spans="1:14">
      <c r="A431" s="1">
        <f>HYPERLINK("https://lsnyc.legalserver.org/matter/dynamic-profile/view/1903585","19-1903585")</f>
        <v>0</v>
      </c>
      <c r="B431" t="s">
        <v>15</v>
      </c>
      <c r="C431" t="s">
        <v>55</v>
      </c>
      <c r="D431" t="s">
        <v>457</v>
      </c>
      <c r="G431" t="s">
        <v>2444</v>
      </c>
      <c r="J431" t="s">
        <v>2449</v>
      </c>
      <c r="K431" t="s">
        <v>2569</v>
      </c>
      <c r="M431" t="s">
        <v>2614</v>
      </c>
    </row>
    <row r="432" spans="1:14">
      <c r="A432" s="1">
        <f>HYPERLINK("https://lsnyc.legalserver.org/matter/dynamic-profile/view/1903443","19-1903443")</f>
        <v>0</v>
      </c>
      <c r="B432" t="s">
        <v>18</v>
      </c>
      <c r="C432" t="s">
        <v>35</v>
      </c>
      <c r="D432" t="s">
        <v>458</v>
      </c>
      <c r="E432" t="s">
        <v>2393</v>
      </c>
      <c r="F432" t="s">
        <v>2437</v>
      </c>
      <c r="I432" t="s">
        <v>2446</v>
      </c>
      <c r="J432" t="s">
        <v>2506</v>
      </c>
      <c r="K432" t="s">
        <v>2569</v>
      </c>
      <c r="L432" t="s">
        <v>2603</v>
      </c>
      <c r="M432" t="s">
        <v>2631</v>
      </c>
      <c r="N432" t="s">
        <v>2648</v>
      </c>
    </row>
    <row r="433" spans="1:13">
      <c r="A433" s="1">
        <f>HYPERLINK("https://lsnyc.legalserver.org/matter/dynamic-profile/view/1901619","19-1901619")</f>
        <v>0</v>
      </c>
      <c r="B433" t="s">
        <v>16</v>
      </c>
      <c r="C433" t="s">
        <v>46</v>
      </c>
      <c r="D433" t="s">
        <v>459</v>
      </c>
      <c r="E433" t="s">
        <v>2370</v>
      </c>
      <c r="F433" t="s">
        <v>2437</v>
      </c>
      <c r="J433" t="s">
        <v>2452</v>
      </c>
      <c r="K433" t="s">
        <v>2572</v>
      </c>
      <c r="M433" t="s">
        <v>2638</v>
      </c>
    </row>
    <row r="434" spans="1:13">
      <c r="A434" s="1">
        <f>HYPERLINK("https://lsnyc.legalserver.org/matter/dynamic-profile/view/1903366","19-1903366")</f>
        <v>0</v>
      </c>
      <c r="B434" t="s">
        <v>16</v>
      </c>
      <c r="C434" t="s">
        <v>23</v>
      </c>
      <c r="D434" t="s">
        <v>460</v>
      </c>
      <c r="E434" t="s">
        <v>2376</v>
      </c>
      <c r="F434" t="s">
        <v>2437</v>
      </c>
      <c r="I434" t="s">
        <v>2446</v>
      </c>
      <c r="J434" t="s">
        <v>2465</v>
      </c>
      <c r="K434" t="s">
        <v>2569</v>
      </c>
      <c r="M434" t="s">
        <v>2618</v>
      </c>
    </row>
    <row r="435" spans="1:13">
      <c r="A435" s="1">
        <f>HYPERLINK("https://lsnyc.legalserver.org/matter/dynamic-profile/view/1903383","19-1903383")</f>
        <v>0</v>
      </c>
      <c r="B435" t="s">
        <v>16</v>
      </c>
      <c r="C435" t="s">
        <v>23</v>
      </c>
      <c r="D435" t="s">
        <v>461</v>
      </c>
      <c r="E435" t="s">
        <v>2376</v>
      </c>
      <c r="F435" t="s">
        <v>2437</v>
      </c>
      <c r="I435" t="s">
        <v>2446</v>
      </c>
      <c r="J435" t="s">
        <v>2450</v>
      </c>
      <c r="K435" t="s">
        <v>2569</v>
      </c>
      <c r="M435" t="s">
        <v>2618</v>
      </c>
    </row>
    <row r="436" spans="1:13">
      <c r="A436" s="1">
        <f>HYPERLINK("https://lsnyc.legalserver.org/matter/dynamic-profile/view/1903403","19-1903403")</f>
        <v>0</v>
      </c>
      <c r="B436" t="s">
        <v>16</v>
      </c>
      <c r="C436" t="s">
        <v>23</v>
      </c>
      <c r="D436" t="s">
        <v>462</v>
      </c>
      <c r="E436" t="s">
        <v>2376</v>
      </c>
      <c r="F436" t="s">
        <v>2437</v>
      </c>
      <c r="I436" t="s">
        <v>2446</v>
      </c>
      <c r="J436" t="s">
        <v>2450</v>
      </c>
      <c r="K436" t="s">
        <v>2569</v>
      </c>
      <c r="M436" t="s">
        <v>2618</v>
      </c>
    </row>
    <row r="437" spans="1:13">
      <c r="A437" s="1">
        <f>HYPERLINK("https://lsnyc.legalserver.org/matter/dynamic-profile/view/1903405","19-1903405")</f>
        <v>0</v>
      </c>
      <c r="B437" t="s">
        <v>16</v>
      </c>
      <c r="C437" t="s">
        <v>23</v>
      </c>
      <c r="D437" t="s">
        <v>463</v>
      </c>
      <c r="E437" t="s">
        <v>2376</v>
      </c>
      <c r="F437" t="s">
        <v>2437</v>
      </c>
      <c r="I437" t="s">
        <v>2446</v>
      </c>
      <c r="J437" t="s">
        <v>2471</v>
      </c>
      <c r="K437" t="s">
        <v>2569</v>
      </c>
      <c r="M437" t="s">
        <v>2618</v>
      </c>
    </row>
    <row r="438" spans="1:13">
      <c r="A438" s="1">
        <f>HYPERLINK("https://lsnyc.legalserver.org/matter/dynamic-profile/view/1903407","19-1903407")</f>
        <v>0</v>
      </c>
      <c r="B438" t="s">
        <v>16</v>
      </c>
      <c r="C438" t="s">
        <v>23</v>
      </c>
      <c r="D438" t="s">
        <v>464</v>
      </c>
      <c r="E438" t="s">
        <v>2376</v>
      </c>
      <c r="F438" t="s">
        <v>2437</v>
      </c>
      <c r="I438" t="s">
        <v>2446</v>
      </c>
      <c r="J438" t="s">
        <v>2471</v>
      </c>
      <c r="K438" t="s">
        <v>2571</v>
      </c>
      <c r="M438" t="s">
        <v>2618</v>
      </c>
    </row>
    <row r="439" spans="1:13">
      <c r="A439" s="1">
        <f>HYPERLINK("https://lsnyc.legalserver.org/matter/dynamic-profile/view/1903411","19-1903411")</f>
        <v>0</v>
      </c>
      <c r="B439" t="s">
        <v>16</v>
      </c>
      <c r="C439" t="s">
        <v>23</v>
      </c>
      <c r="D439" t="s">
        <v>465</v>
      </c>
      <c r="E439" t="s">
        <v>2376</v>
      </c>
      <c r="F439" t="s">
        <v>2437</v>
      </c>
      <c r="I439" t="s">
        <v>2446</v>
      </c>
      <c r="J439" t="s">
        <v>2450</v>
      </c>
      <c r="K439" t="s">
        <v>2569</v>
      </c>
      <c r="M439" t="s">
        <v>2618</v>
      </c>
    </row>
    <row r="440" spans="1:13">
      <c r="A440" s="1">
        <f>HYPERLINK("https://lsnyc.legalserver.org/matter/dynamic-profile/view/1903414","19-1903414")</f>
        <v>0</v>
      </c>
      <c r="B440" t="s">
        <v>16</v>
      </c>
      <c r="C440" t="s">
        <v>23</v>
      </c>
      <c r="D440" t="s">
        <v>466</v>
      </c>
      <c r="E440" t="s">
        <v>2376</v>
      </c>
      <c r="F440" t="s">
        <v>2437</v>
      </c>
      <c r="I440" t="s">
        <v>2446</v>
      </c>
      <c r="J440" t="s">
        <v>2450</v>
      </c>
      <c r="K440" t="s">
        <v>2569</v>
      </c>
      <c r="M440" t="s">
        <v>2618</v>
      </c>
    </row>
    <row r="441" spans="1:13">
      <c r="A441" s="1">
        <f>HYPERLINK("https://lsnyc.legalserver.org/matter/dynamic-profile/view/1903422","19-1903422")</f>
        <v>0</v>
      </c>
      <c r="B441" t="s">
        <v>16</v>
      </c>
      <c r="C441" t="s">
        <v>23</v>
      </c>
      <c r="D441" t="s">
        <v>467</v>
      </c>
      <c r="E441" t="s">
        <v>2376</v>
      </c>
      <c r="F441" t="s">
        <v>2437</v>
      </c>
      <c r="G441" t="s">
        <v>2444</v>
      </c>
      <c r="I441" t="s">
        <v>2446</v>
      </c>
      <c r="J441" t="s">
        <v>2450</v>
      </c>
      <c r="K441" t="s">
        <v>2569</v>
      </c>
      <c r="M441" t="s">
        <v>2618</v>
      </c>
    </row>
    <row r="442" spans="1:13">
      <c r="A442" s="1">
        <f>HYPERLINK("https://lsnyc.legalserver.org/matter/dynamic-profile/view/1903439","19-1903439")</f>
        <v>0</v>
      </c>
      <c r="B442" t="s">
        <v>18</v>
      </c>
      <c r="C442" t="s">
        <v>35</v>
      </c>
      <c r="D442" t="s">
        <v>458</v>
      </c>
      <c r="E442" t="s">
        <v>2381</v>
      </c>
      <c r="F442" t="s">
        <v>2437</v>
      </c>
      <c r="I442" t="s">
        <v>2446</v>
      </c>
      <c r="J442" t="s">
        <v>2506</v>
      </c>
      <c r="K442" t="s">
        <v>2569</v>
      </c>
      <c r="L442" t="s">
        <v>2600</v>
      </c>
      <c r="M442" t="s">
        <v>2622</v>
      </c>
    </row>
    <row r="443" spans="1:13">
      <c r="A443" s="1">
        <f>HYPERLINK("https://lsnyc.legalserver.org/matter/dynamic-profile/view/1903444","19-1903444")</f>
        <v>0</v>
      </c>
      <c r="B443" t="s">
        <v>16</v>
      </c>
      <c r="C443" t="s">
        <v>46</v>
      </c>
      <c r="D443" t="s">
        <v>468</v>
      </c>
      <c r="E443" t="s">
        <v>2374</v>
      </c>
      <c r="F443" t="s">
        <v>2438</v>
      </c>
      <c r="I443" t="s">
        <v>2446</v>
      </c>
      <c r="J443" t="s">
        <v>2450</v>
      </c>
      <c r="K443" t="s">
        <v>2569</v>
      </c>
      <c r="M443" t="s">
        <v>2616</v>
      </c>
    </row>
    <row r="444" spans="1:13">
      <c r="A444" s="1">
        <f>HYPERLINK("https://lsnyc.legalserver.org/matter/dynamic-profile/view/1903451","19-1903451")</f>
        <v>0</v>
      </c>
      <c r="B444" t="s">
        <v>16</v>
      </c>
      <c r="C444" t="s">
        <v>23</v>
      </c>
      <c r="D444" t="s">
        <v>469</v>
      </c>
      <c r="E444" t="s">
        <v>2391</v>
      </c>
      <c r="F444" t="s">
        <v>2437</v>
      </c>
      <c r="I444" t="s">
        <v>2446</v>
      </c>
      <c r="J444" t="s">
        <v>2449</v>
      </c>
      <c r="M444" t="s">
        <v>2615</v>
      </c>
    </row>
    <row r="445" spans="1:13">
      <c r="A445" s="1">
        <f>HYPERLINK("https://lsnyc.legalserver.org/matter/dynamic-profile/view/1903452","19-1903452")</f>
        <v>0</v>
      </c>
      <c r="B445" t="s">
        <v>16</v>
      </c>
      <c r="C445" t="s">
        <v>23</v>
      </c>
      <c r="D445" t="s">
        <v>469</v>
      </c>
      <c r="E445" t="s">
        <v>2412</v>
      </c>
      <c r="F445" t="s">
        <v>2437</v>
      </c>
      <c r="I445" t="s">
        <v>2446</v>
      </c>
      <c r="J445" t="s">
        <v>2449</v>
      </c>
      <c r="M445" t="s">
        <v>2616</v>
      </c>
    </row>
    <row r="446" spans="1:13">
      <c r="A446" s="1">
        <f>HYPERLINK("https://lsnyc.legalserver.org/matter/dynamic-profile/view/1903531","19-1903531")</f>
        <v>0</v>
      </c>
      <c r="B446" t="s">
        <v>15</v>
      </c>
      <c r="C446" t="s">
        <v>30</v>
      </c>
      <c r="D446" t="s">
        <v>470</v>
      </c>
      <c r="E446" t="s">
        <v>2406</v>
      </c>
      <c r="F446" t="s">
        <v>2437</v>
      </c>
      <c r="I446" t="s">
        <v>2446</v>
      </c>
      <c r="J446" t="s">
        <v>2447</v>
      </c>
      <c r="K446" t="s">
        <v>2569</v>
      </c>
      <c r="M446" t="s">
        <v>2642</v>
      </c>
    </row>
    <row r="447" spans="1:13">
      <c r="A447" s="1">
        <f>HYPERLINK("https://lsnyc.legalserver.org/matter/dynamic-profile/view/1903563","19-1903563")</f>
        <v>0</v>
      </c>
      <c r="B447" t="s">
        <v>15</v>
      </c>
      <c r="C447" t="s">
        <v>30</v>
      </c>
      <c r="D447" t="s">
        <v>471</v>
      </c>
      <c r="E447" t="s">
        <v>2406</v>
      </c>
      <c r="J447" t="s">
        <v>2447</v>
      </c>
      <c r="K447" t="s">
        <v>2569</v>
      </c>
      <c r="M447" t="s">
        <v>2642</v>
      </c>
    </row>
    <row r="448" spans="1:13">
      <c r="A448" s="1">
        <f>HYPERLINK("https://lsnyc.legalserver.org/matter/dynamic-profile/view/1903205","19-1903205")</f>
        <v>0</v>
      </c>
      <c r="B448" t="s">
        <v>16</v>
      </c>
      <c r="C448" t="s">
        <v>23</v>
      </c>
      <c r="D448" t="s">
        <v>472</v>
      </c>
      <c r="E448" t="s">
        <v>2403</v>
      </c>
      <c r="F448" t="s">
        <v>2438</v>
      </c>
      <c r="I448" t="s">
        <v>2446</v>
      </c>
      <c r="J448" t="s">
        <v>2449</v>
      </c>
      <c r="M448" t="s">
        <v>2639</v>
      </c>
    </row>
    <row r="449" spans="1:13">
      <c r="A449" s="1">
        <f>HYPERLINK("https://lsnyc.legalserver.org/matter/dynamic-profile/view/1903285","19-1903285")</f>
        <v>0</v>
      </c>
      <c r="B449" t="s">
        <v>16</v>
      </c>
      <c r="C449" t="s">
        <v>23</v>
      </c>
      <c r="D449" t="s">
        <v>472</v>
      </c>
      <c r="E449" t="s">
        <v>2374</v>
      </c>
      <c r="F449" t="s">
        <v>2438</v>
      </c>
      <c r="I449" t="s">
        <v>2446</v>
      </c>
      <c r="J449" t="s">
        <v>2449</v>
      </c>
      <c r="M449" t="s">
        <v>2616</v>
      </c>
    </row>
    <row r="450" spans="1:13">
      <c r="A450" s="1">
        <f>HYPERLINK("https://lsnyc.legalserver.org/matter/dynamic-profile/view/1903286","19-1903286")</f>
        <v>0</v>
      </c>
      <c r="B450" t="s">
        <v>16</v>
      </c>
      <c r="C450" t="s">
        <v>23</v>
      </c>
      <c r="D450" t="s">
        <v>473</v>
      </c>
      <c r="E450" t="s">
        <v>2374</v>
      </c>
      <c r="F450" t="s">
        <v>2438</v>
      </c>
      <c r="I450" t="s">
        <v>2446</v>
      </c>
      <c r="J450" t="s">
        <v>2449</v>
      </c>
      <c r="M450" t="s">
        <v>2616</v>
      </c>
    </row>
    <row r="451" spans="1:13">
      <c r="A451" s="1">
        <f>HYPERLINK("https://lsnyc.legalserver.org/matter/dynamic-profile/view/1903290","19-1903290")</f>
        <v>0</v>
      </c>
      <c r="B451" t="s">
        <v>16</v>
      </c>
      <c r="C451" t="s">
        <v>23</v>
      </c>
      <c r="D451" t="s">
        <v>473</v>
      </c>
      <c r="E451" t="s">
        <v>2403</v>
      </c>
      <c r="F451" t="s">
        <v>2441</v>
      </c>
      <c r="I451" t="s">
        <v>2446</v>
      </c>
      <c r="J451" t="s">
        <v>2449</v>
      </c>
      <c r="M451" t="s">
        <v>2639</v>
      </c>
    </row>
    <row r="452" spans="1:13">
      <c r="A452" s="1">
        <f>HYPERLINK("https://lsnyc.legalserver.org/matter/dynamic-profile/view/1903293","19-1903293")</f>
        <v>0</v>
      </c>
      <c r="B452" t="s">
        <v>16</v>
      </c>
      <c r="C452" t="s">
        <v>23</v>
      </c>
      <c r="D452" t="s">
        <v>474</v>
      </c>
      <c r="E452" t="s">
        <v>2375</v>
      </c>
      <c r="F452" t="s">
        <v>2437</v>
      </c>
      <c r="I452" t="s">
        <v>2446</v>
      </c>
      <c r="J452" t="s">
        <v>2450</v>
      </c>
      <c r="K452" t="s">
        <v>2569</v>
      </c>
      <c r="M452" t="s">
        <v>2617</v>
      </c>
    </row>
    <row r="453" spans="1:13">
      <c r="A453" s="1">
        <f>HYPERLINK("https://lsnyc.legalserver.org/matter/dynamic-profile/view/1903297","19-1903297")</f>
        <v>0</v>
      </c>
      <c r="B453" t="s">
        <v>16</v>
      </c>
      <c r="C453" t="s">
        <v>23</v>
      </c>
      <c r="D453" t="s">
        <v>466</v>
      </c>
      <c r="E453" t="s">
        <v>2374</v>
      </c>
      <c r="F453" t="s">
        <v>2438</v>
      </c>
      <c r="I453" t="s">
        <v>2446</v>
      </c>
      <c r="J453" t="s">
        <v>2450</v>
      </c>
      <c r="K453" t="s">
        <v>2569</v>
      </c>
      <c r="M453" t="s">
        <v>2616</v>
      </c>
    </row>
    <row r="454" spans="1:13">
      <c r="A454" s="1">
        <f>HYPERLINK("https://lsnyc.legalserver.org/matter/dynamic-profile/view/1903302","19-1903302")</f>
        <v>0</v>
      </c>
      <c r="B454" t="s">
        <v>16</v>
      </c>
      <c r="C454" t="s">
        <v>23</v>
      </c>
      <c r="D454" t="s">
        <v>462</v>
      </c>
      <c r="E454" t="s">
        <v>2374</v>
      </c>
      <c r="F454" t="s">
        <v>2438</v>
      </c>
      <c r="I454" t="s">
        <v>2446</v>
      </c>
      <c r="J454" t="s">
        <v>2450</v>
      </c>
      <c r="K454" t="s">
        <v>2569</v>
      </c>
      <c r="M454" t="s">
        <v>2616</v>
      </c>
    </row>
    <row r="455" spans="1:13">
      <c r="A455" s="1">
        <f>HYPERLINK("https://lsnyc.legalserver.org/matter/dynamic-profile/view/1903304","19-1903304")</f>
        <v>0</v>
      </c>
      <c r="B455" t="s">
        <v>16</v>
      </c>
      <c r="C455" t="s">
        <v>23</v>
      </c>
      <c r="D455" t="s">
        <v>463</v>
      </c>
      <c r="E455" t="s">
        <v>2375</v>
      </c>
      <c r="F455" t="s">
        <v>2437</v>
      </c>
      <c r="I455" t="s">
        <v>2446</v>
      </c>
      <c r="J455" t="s">
        <v>2450</v>
      </c>
      <c r="K455" t="s">
        <v>2569</v>
      </c>
      <c r="M455" t="s">
        <v>2617</v>
      </c>
    </row>
    <row r="456" spans="1:13">
      <c r="A456" s="1">
        <f>HYPERLINK("https://lsnyc.legalserver.org/matter/dynamic-profile/view/1903337","19-1903337")</f>
        <v>0</v>
      </c>
      <c r="B456" t="s">
        <v>16</v>
      </c>
      <c r="C456" t="s">
        <v>23</v>
      </c>
      <c r="D456" t="s">
        <v>475</v>
      </c>
      <c r="E456" t="s">
        <v>2376</v>
      </c>
      <c r="F456" t="s">
        <v>2437</v>
      </c>
      <c r="I456" t="s">
        <v>2446</v>
      </c>
      <c r="J456" t="s">
        <v>2450</v>
      </c>
      <c r="K456" t="s">
        <v>2569</v>
      </c>
      <c r="M456" t="s">
        <v>2618</v>
      </c>
    </row>
    <row r="457" spans="1:13">
      <c r="A457" s="1">
        <f>HYPERLINK("https://lsnyc.legalserver.org/matter/dynamic-profile/view/1903341","19-1903341")</f>
        <v>0</v>
      </c>
      <c r="B457" t="s">
        <v>16</v>
      </c>
      <c r="C457" t="s">
        <v>23</v>
      </c>
      <c r="D457" t="s">
        <v>476</v>
      </c>
      <c r="E457" t="s">
        <v>2376</v>
      </c>
      <c r="F457" t="s">
        <v>2437</v>
      </c>
      <c r="I457" t="s">
        <v>2446</v>
      </c>
      <c r="J457" t="s">
        <v>2465</v>
      </c>
      <c r="K457" t="s">
        <v>2569</v>
      </c>
      <c r="M457" t="s">
        <v>2618</v>
      </c>
    </row>
    <row r="458" spans="1:13">
      <c r="A458" s="1">
        <f>HYPERLINK("https://lsnyc.legalserver.org/matter/dynamic-profile/view/1903180","19-1903180")</f>
        <v>0</v>
      </c>
      <c r="B458" t="s">
        <v>18</v>
      </c>
      <c r="C458" t="s">
        <v>27</v>
      </c>
      <c r="D458" t="s">
        <v>437</v>
      </c>
      <c r="E458" t="s">
        <v>2371</v>
      </c>
      <c r="F458" t="s">
        <v>2437</v>
      </c>
      <c r="I458" t="s">
        <v>2446</v>
      </c>
      <c r="J458" t="s">
        <v>2505</v>
      </c>
      <c r="K458" t="s">
        <v>2572</v>
      </c>
      <c r="L458" t="s">
        <v>2603</v>
      </c>
      <c r="M458" t="s">
        <v>2612</v>
      </c>
    </row>
    <row r="459" spans="1:13">
      <c r="A459" s="1">
        <f>HYPERLINK("https://lsnyc.legalserver.org/matter/dynamic-profile/view/1903181","19-1903181")</f>
        <v>0</v>
      </c>
      <c r="B459" t="s">
        <v>16</v>
      </c>
      <c r="C459" t="s">
        <v>46</v>
      </c>
      <c r="D459" t="s">
        <v>477</v>
      </c>
      <c r="E459" t="s">
        <v>2391</v>
      </c>
      <c r="F459" t="s">
        <v>2437</v>
      </c>
      <c r="G459" t="s">
        <v>2444</v>
      </c>
      <c r="I459" t="s">
        <v>2446</v>
      </c>
      <c r="J459" t="s">
        <v>2465</v>
      </c>
      <c r="K459" t="s">
        <v>2569</v>
      </c>
      <c r="M459" t="s">
        <v>2615</v>
      </c>
    </row>
    <row r="460" spans="1:13">
      <c r="A460" s="1">
        <f>HYPERLINK("https://lsnyc.legalserver.org/matter/dynamic-profile/view/1903182","19-1903182")</f>
        <v>0</v>
      </c>
      <c r="B460" t="s">
        <v>16</v>
      </c>
      <c r="C460" t="s">
        <v>46</v>
      </c>
      <c r="D460" t="s">
        <v>477</v>
      </c>
      <c r="E460" t="s">
        <v>2412</v>
      </c>
      <c r="F460" t="s">
        <v>2437</v>
      </c>
      <c r="G460" t="s">
        <v>2444</v>
      </c>
      <c r="I460" t="s">
        <v>2446</v>
      </c>
      <c r="J460" t="s">
        <v>2465</v>
      </c>
      <c r="K460" t="s">
        <v>2569</v>
      </c>
      <c r="M460" t="s">
        <v>2616</v>
      </c>
    </row>
    <row r="461" spans="1:13">
      <c r="A461" s="1">
        <f>HYPERLINK("https://lsnyc.legalserver.org/matter/dynamic-profile/view/1903188","19-1903188")</f>
        <v>0</v>
      </c>
      <c r="B461" t="s">
        <v>16</v>
      </c>
      <c r="C461" t="s">
        <v>23</v>
      </c>
      <c r="D461" t="s">
        <v>478</v>
      </c>
      <c r="E461" t="s">
        <v>2412</v>
      </c>
      <c r="F461" t="s">
        <v>2437</v>
      </c>
      <c r="I461" t="s">
        <v>2446</v>
      </c>
      <c r="J461" t="s">
        <v>2450</v>
      </c>
      <c r="K461" t="s">
        <v>2569</v>
      </c>
      <c r="M461" t="s">
        <v>2616</v>
      </c>
    </row>
    <row r="462" spans="1:13">
      <c r="A462" s="1">
        <f>HYPERLINK("https://lsnyc.legalserver.org/matter/dynamic-profile/view/1903191","19-1903191")</f>
        <v>0</v>
      </c>
      <c r="B462" t="s">
        <v>16</v>
      </c>
      <c r="C462" t="s">
        <v>23</v>
      </c>
      <c r="D462" t="s">
        <v>479</v>
      </c>
      <c r="E462" t="s">
        <v>2375</v>
      </c>
      <c r="F462" t="s">
        <v>2437</v>
      </c>
      <c r="G462" t="s">
        <v>2444</v>
      </c>
      <c r="I462" t="s">
        <v>2446</v>
      </c>
      <c r="J462" t="s">
        <v>2449</v>
      </c>
      <c r="K462" t="s">
        <v>2569</v>
      </c>
      <c r="M462" t="s">
        <v>2617</v>
      </c>
    </row>
    <row r="463" spans="1:13">
      <c r="A463" s="1">
        <f>HYPERLINK("https://lsnyc.legalserver.org/matter/dynamic-profile/view/1903194","19-1903194")</f>
        <v>0</v>
      </c>
      <c r="B463" t="s">
        <v>16</v>
      </c>
      <c r="C463" t="s">
        <v>23</v>
      </c>
      <c r="D463" t="s">
        <v>480</v>
      </c>
      <c r="E463" t="s">
        <v>2405</v>
      </c>
      <c r="F463" t="s">
        <v>2437</v>
      </c>
      <c r="I463" t="s">
        <v>2446</v>
      </c>
      <c r="J463" t="s">
        <v>2460</v>
      </c>
      <c r="K463" t="s">
        <v>2581</v>
      </c>
      <c r="M463" t="s">
        <v>2613</v>
      </c>
    </row>
    <row r="464" spans="1:13">
      <c r="A464" s="1">
        <f>HYPERLINK("https://lsnyc.legalserver.org/matter/dynamic-profile/view/1903197","19-1903197")</f>
        <v>0</v>
      </c>
      <c r="B464" t="s">
        <v>16</v>
      </c>
      <c r="C464" t="s">
        <v>23</v>
      </c>
      <c r="D464" t="s">
        <v>480</v>
      </c>
      <c r="E464" t="s">
        <v>2406</v>
      </c>
      <c r="F464" t="s">
        <v>2437</v>
      </c>
      <c r="I464" t="s">
        <v>2446</v>
      </c>
      <c r="J464" t="s">
        <v>2460</v>
      </c>
      <c r="K464" t="s">
        <v>2581</v>
      </c>
      <c r="M464" t="s">
        <v>2642</v>
      </c>
    </row>
    <row r="465" spans="1:14">
      <c r="A465" s="1">
        <f>HYPERLINK("https://lsnyc.legalserver.org/matter/dynamic-profile/view/1902969","19-1902969")</f>
        <v>0</v>
      </c>
      <c r="B465" t="s">
        <v>15</v>
      </c>
      <c r="C465" t="s">
        <v>39</v>
      </c>
      <c r="D465" t="s">
        <v>481</v>
      </c>
      <c r="F465" t="s">
        <v>2439</v>
      </c>
      <c r="H465" t="s">
        <v>2445</v>
      </c>
      <c r="J465" t="s">
        <v>2465</v>
      </c>
      <c r="K465" t="s">
        <v>2569</v>
      </c>
      <c r="L465" t="s">
        <v>2601</v>
      </c>
      <c r="M465" t="s">
        <v>2631</v>
      </c>
    </row>
    <row r="466" spans="1:14">
      <c r="A466" s="1">
        <f>HYPERLINK("https://lsnyc.legalserver.org/matter/dynamic-profile/view/1903057","19-1903057")</f>
        <v>0</v>
      </c>
      <c r="B466" t="s">
        <v>19</v>
      </c>
      <c r="C466" t="s">
        <v>54</v>
      </c>
      <c r="D466" t="s">
        <v>482</v>
      </c>
      <c r="E466" t="s">
        <v>2375</v>
      </c>
      <c r="F466" t="s">
        <v>2437</v>
      </c>
      <c r="J466" t="s">
        <v>2507</v>
      </c>
      <c r="L466" t="s">
        <v>2600</v>
      </c>
      <c r="M466" t="s">
        <v>2617</v>
      </c>
      <c r="N466" t="s">
        <v>2648</v>
      </c>
    </row>
    <row r="467" spans="1:14">
      <c r="A467" s="1">
        <f>HYPERLINK("https://lsnyc.legalserver.org/matter/dynamic-profile/view/1902737","19-1902737")</f>
        <v>0</v>
      </c>
      <c r="B467" t="s">
        <v>15</v>
      </c>
      <c r="C467" t="s">
        <v>32</v>
      </c>
      <c r="D467" t="s">
        <v>483</v>
      </c>
      <c r="E467" t="s">
        <v>2406</v>
      </c>
      <c r="F467" t="s">
        <v>2437</v>
      </c>
      <c r="J467" t="s">
        <v>2447</v>
      </c>
      <c r="K467" t="s">
        <v>2569</v>
      </c>
      <c r="L467" t="s">
        <v>2600</v>
      </c>
      <c r="M467" t="s">
        <v>2642</v>
      </c>
      <c r="N467" t="s">
        <v>2649</v>
      </c>
    </row>
    <row r="468" spans="1:14">
      <c r="A468" s="1">
        <f>HYPERLINK("https://lsnyc.legalserver.org/matter/dynamic-profile/view/1902897","19-1902897")</f>
        <v>0</v>
      </c>
      <c r="B468" t="s">
        <v>19</v>
      </c>
      <c r="C468" t="s">
        <v>47</v>
      </c>
      <c r="D468" t="s">
        <v>196</v>
      </c>
      <c r="E468" t="s">
        <v>2391</v>
      </c>
      <c r="F468" t="s">
        <v>2438</v>
      </c>
      <c r="J468" t="s">
        <v>2450</v>
      </c>
      <c r="K468" t="s">
        <v>2569</v>
      </c>
      <c r="L468" t="s">
        <v>2600</v>
      </c>
      <c r="M468" t="s">
        <v>2615</v>
      </c>
      <c r="N468" t="s">
        <v>2649</v>
      </c>
    </row>
    <row r="469" spans="1:14">
      <c r="A469" s="1">
        <f>HYPERLINK("https://lsnyc.legalserver.org/matter/dynamic-profile/view/1902931","19-1902931")</f>
        <v>0</v>
      </c>
      <c r="B469" t="s">
        <v>15</v>
      </c>
      <c r="C469" t="s">
        <v>30</v>
      </c>
      <c r="D469" t="s">
        <v>484</v>
      </c>
      <c r="E469" t="s">
        <v>2406</v>
      </c>
      <c r="F469" t="s">
        <v>2437</v>
      </c>
      <c r="J469" t="s">
        <v>2457</v>
      </c>
      <c r="K469" t="s">
        <v>2569</v>
      </c>
      <c r="L469" t="s">
        <v>2600</v>
      </c>
      <c r="M469" t="s">
        <v>2642</v>
      </c>
    </row>
    <row r="470" spans="1:14">
      <c r="A470" s="1">
        <f>HYPERLINK("https://lsnyc.legalserver.org/matter/dynamic-profile/view/1902933","19-1902933")</f>
        <v>0</v>
      </c>
      <c r="B470" t="s">
        <v>15</v>
      </c>
      <c r="C470" t="s">
        <v>30</v>
      </c>
      <c r="D470" t="s">
        <v>485</v>
      </c>
      <c r="E470" t="s">
        <v>2383</v>
      </c>
      <c r="F470" t="s">
        <v>2437</v>
      </c>
      <c r="J470" t="s">
        <v>2448</v>
      </c>
      <c r="K470" t="s">
        <v>2572</v>
      </c>
      <c r="L470" t="s">
        <v>2600</v>
      </c>
      <c r="M470" t="s">
        <v>2624</v>
      </c>
    </row>
    <row r="471" spans="1:14">
      <c r="A471" s="1">
        <f>HYPERLINK("https://lsnyc.legalserver.org/matter/dynamic-profile/view/1902736","19-1902736")</f>
        <v>0</v>
      </c>
      <c r="B471" t="s">
        <v>17</v>
      </c>
      <c r="C471" t="s">
        <v>56</v>
      </c>
      <c r="D471" t="s">
        <v>486</v>
      </c>
      <c r="E471" t="s">
        <v>2386</v>
      </c>
      <c r="F471" t="s">
        <v>2437</v>
      </c>
      <c r="G471" t="s">
        <v>2444</v>
      </c>
      <c r="J471" t="s">
        <v>2457</v>
      </c>
      <c r="K471" t="s">
        <v>2569</v>
      </c>
      <c r="M471" t="s">
        <v>2627</v>
      </c>
    </row>
    <row r="472" spans="1:14">
      <c r="A472" s="1">
        <f>HYPERLINK("https://lsnyc.legalserver.org/matter/dynamic-profile/view/1902746","19-1902746")</f>
        <v>0</v>
      </c>
      <c r="B472" t="s">
        <v>16</v>
      </c>
      <c r="C472" t="s">
        <v>23</v>
      </c>
      <c r="D472" t="s">
        <v>487</v>
      </c>
      <c r="E472" t="s">
        <v>2385</v>
      </c>
      <c r="F472" t="s">
        <v>2438</v>
      </c>
      <c r="I472" t="s">
        <v>2446</v>
      </c>
      <c r="J472" t="s">
        <v>2450</v>
      </c>
      <c r="K472" t="s">
        <v>2569</v>
      </c>
      <c r="M472" t="s">
        <v>2616</v>
      </c>
    </row>
    <row r="473" spans="1:14">
      <c r="A473" s="1">
        <f>HYPERLINK("https://lsnyc.legalserver.org/matter/dynamic-profile/view/1902801","19-1902801")</f>
        <v>0</v>
      </c>
      <c r="B473" t="s">
        <v>15</v>
      </c>
      <c r="C473" t="s">
        <v>49</v>
      </c>
      <c r="D473" t="s">
        <v>488</v>
      </c>
      <c r="F473" t="s">
        <v>2439</v>
      </c>
      <c r="J473" t="s">
        <v>2447</v>
      </c>
      <c r="K473" t="s">
        <v>2569</v>
      </c>
      <c r="M473" t="s">
        <v>2631</v>
      </c>
    </row>
    <row r="474" spans="1:14">
      <c r="A474" s="1">
        <f>HYPERLINK("https://lsnyc.legalserver.org/matter/dynamic-profile/view/1902824","19-1902824")</f>
        <v>0</v>
      </c>
      <c r="B474" t="s">
        <v>19</v>
      </c>
      <c r="C474" t="s">
        <v>47</v>
      </c>
      <c r="D474" t="s">
        <v>196</v>
      </c>
      <c r="E474" t="s">
        <v>2374</v>
      </c>
      <c r="F474" t="s">
        <v>2438</v>
      </c>
      <c r="J474" t="s">
        <v>2450</v>
      </c>
      <c r="K474" t="s">
        <v>2569</v>
      </c>
      <c r="M474" t="s">
        <v>2616</v>
      </c>
    </row>
    <row r="475" spans="1:14">
      <c r="A475" s="1">
        <f>HYPERLINK("https://lsnyc.legalserver.org/matter/dynamic-profile/view/1902690","19-1902690")</f>
        <v>0</v>
      </c>
      <c r="B475" t="s">
        <v>15</v>
      </c>
      <c r="C475" t="s">
        <v>49</v>
      </c>
      <c r="D475" t="s">
        <v>489</v>
      </c>
      <c r="E475" t="s">
        <v>2408</v>
      </c>
      <c r="F475" t="s">
        <v>2437</v>
      </c>
      <c r="J475" t="s">
        <v>2508</v>
      </c>
      <c r="K475" t="s">
        <v>2572</v>
      </c>
      <c r="L475" t="s">
        <v>2600</v>
      </c>
      <c r="M475" t="s">
        <v>2619</v>
      </c>
    </row>
    <row r="476" spans="1:14">
      <c r="A476" s="1">
        <f>HYPERLINK("https://lsnyc.legalserver.org/matter/dynamic-profile/view/1902554","19-1902554")</f>
        <v>0</v>
      </c>
      <c r="B476" t="s">
        <v>15</v>
      </c>
      <c r="C476" t="s">
        <v>49</v>
      </c>
      <c r="D476" t="s">
        <v>490</v>
      </c>
      <c r="E476" t="s">
        <v>2390</v>
      </c>
      <c r="F476" t="s">
        <v>2437</v>
      </c>
      <c r="G476" t="s">
        <v>2444</v>
      </c>
      <c r="J476" t="s">
        <v>2460</v>
      </c>
      <c r="K476" t="s">
        <v>2572</v>
      </c>
      <c r="M476" t="s">
        <v>2619</v>
      </c>
    </row>
    <row r="477" spans="1:14">
      <c r="A477" s="1">
        <f>HYPERLINK("https://lsnyc.legalserver.org/matter/dynamic-profile/view/1902556","19-1902556")</f>
        <v>0</v>
      </c>
      <c r="B477" t="s">
        <v>16</v>
      </c>
      <c r="C477" t="s">
        <v>23</v>
      </c>
      <c r="D477" t="s">
        <v>491</v>
      </c>
      <c r="E477" t="s">
        <v>2393</v>
      </c>
      <c r="F477" t="s">
        <v>2437</v>
      </c>
      <c r="I477" t="s">
        <v>2446</v>
      </c>
      <c r="J477" t="s">
        <v>2457</v>
      </c>
      <c r="K477" t="s">
        <v>2569</v>
      </c>
      <c r="M477" t="s">
        <v>2637</v>
      </c>
    </row>
    <row r="478" spans="1:14">
      <c r="A478" s="1">
        <f>HYPERLINK("https://lsnyc.legalserver.org/matter/dynamic-profile/view/1902560","19-1902560")</f>
        <v>0</v>
      </c>
      <c r="B478" t="s">
        <v>16</v>
      </c>
      <c r="C478" t="s">
        <v>46</v>
      </c>
      <c r="D478" t="s">
        <v>492</v>
      </c>
      <c r="E478" t="s">
        <v>2393</v>
      </c>
      <c r="F478" t="s">
        <v>2437</v>
      </c>
      <c r="J478" t="s">
        <v>2465</v>
      </c>
      <c r="L478" t="s">
        <v>2600</v>
      </c>
      <c r="M478" t="s">
        <v>2637</v>
      </c>
    </row>
    <row r="479" spans="1:14">
      <c r="A479" s="1">
        <f>HYPERLINK("https://lsnyc.legalserver.org/matter/dynamic-profile/view/1902562","19-1902562")</f>
        <v>0</v>
      </c>
      <c r="B479" t="s">
        <v>16</v>
      </c>
      <c r="C479" t="s">
        <v>46</v>
      </c>
      <c r="D479" t="s">
        <v>492</v>
      </c>
      <c r="E479" t="s">
        <v>2406</v>
      </c>
      <c r="F479" t="s">
        <v>2437</v>
      </c>
      <c r="J479" t="s">
        <v>2465</v>
      </c>
      <c r="K479" t="s">
        <v>2569</v>
      </c>
      <c r="L479" t="s">
        <v>2600</v>
      </c>
      <c r="M479" t="s">
        <v>2642</v>
      </c>
    </row>
    <row r="480" spans="1:14">
      <c r="A480" s="1">
        <f>HYPERLINK("https://lsnyc.legalserver.org/matter/dynamic-profile/view/1902566","19-1902566")</f>
        <v>0</v>
      </c>
      <c r="B480" t="s">
        <v>16</v>
      </c>
      <c r="C480" t="s">
        <v>46</v>
      </c>
      <c r="D480" t="s">
        <v>493</v>
      </c>
      <c r="E480" t="s">
        <v>2413</v>
      </c>
      <c r="F480" t="s">
        <v>2437</v>
      </c>
      <c r="I480" t="s">
        <v>2446</v>
      </c>
      <c r="J480" t="s">
        <v>2448</v>
      </c>
      <c r="K480" t="s">
        <v>2569</v>
      </c>
      <c r="L480" t="s">
        <v>2600</v>
      </c>
      <c r="M480" t="s">
        <v>2629</v>
      </c>
    </row>
    <row r="481" spans="1:14">
      <c r="A481" s="1">
        <f>HYPERLINK("https://lsnyc.legalserver.org/matter/dynamic-profile/view/1902585","19-1902585")</f>
        <v>0</v>
      </c>
      <c r="B481" t="s">
        <v>16</v>
      </c>
      <c r="C481" t="s">
        <v>46</v>
      </c>
      <c r="D481" t="s">
        <v>494</v>
      </c>
      <c r="E481" t="s">
        <v>2393</v>
      </c>
      <c r="F481" t="s">
        <v>2437</v>
      </c>
      <c r="I481" t="s">
        <v>2446</v>
      </c>
      <c r="J481" t="s">
        <v>2447</v>
      </c>
      <c r="K481" t="s">
        <v>2569</v>
      </c>
      <c r="M481" t="s">
        <v>2637</v>
      </c>
    </row>
    <row r="482" spans="1:14">
      <c r="A482" s="1">
        <f>HYPERLINK("https://lsnyc.legalserver.org/matter/dynamic-profile/view/1902673","19-1902673")</f>
        <v>0</v>
      </c>
      <c r="B482" t="s">
        <v>17</v>
      </c>
      <c r="C482" t="s">
        <v>42</v>
      </c>
      <c r="D482" t="s">
        <v>495</v>
      </c>
      <c r="E482" t="s">
        <v>2376</v>
      </c>
      <c r="F482" t="s">
        <v>2437</v>
      </c>
      <c r="G482" t="s">
        <v>2444</v>
      </c>
      <c r="J482" t="s">
        <v>2457</v>
      </c>
      <c r="K482" t="s">
        <v>2569</v>
      </c>
      <c r="M482" t="s">
        <v>2618</v>
      </c>
    </row>
    <row r="483" spans="1:14">
      <c r="A483" s="1">
        <f>HYPERLINK("https://lsnyc.legalserver.org/matter/dynamic-profile/view/1902680","19-1902680")</f>
        <v>0</v>
      </c>
      <c r="B483" t="s">
        <v>17</v>
      </c>
      <c r="C483" t="s">
        <v>42</v>
      </c>
      <c r="D483" t="s">
        <v>495</v>
      </c>
      <c r="E483" t="s">
        <v>2375</v>
      </c>
      <c r="F483" t="s">
        <v>2437</v>
      </c>
      <c r="G483" t="s">
        <v>2444</v>
      </c>
      <c r="K483" t="s">
        <v>2569</v>
      </c>
      <c r="M483" t="s">
        <v>2617</v>
      </c>
    </row>
    <row r="484" spans="1:14">
      <c r="A484" s="1">
        <f>HYPERLINK("https://lsnyc.legalserver.org/matter/dynamic-profile/view/1902902","19-1902902")</f>
        <v>0</v>
      </c>
      <c r="B484" t="s">
        <v>17</v>
      </c>
      <c r="C484" t="s">
        <v>28</v>
      </c>
      <c r="D484" t="s">
        <v>496</v>
      </c>
      <c r="G484" t="s">
        <v>2444</v>
      </c>
      <c r="K484" t="s">
        <v>2569</v>
      </c>
      <c r="M484" t="s">
        <v>2614</v>
      </c>
    </row>
    <row r="485" spans="1:14">
      <c r="A485" s="1">
        <f>HYPERLINK("https://lsnyc.legalserver.org/matter/dynamic-profile/view/1902451","19-1902451")</f>
        <v>0</v>
      </c>
      <c r="B485" t="s">
        <v>16</v>
      </c>
      <c r="C485" t="s">
        <v>23</v>
      </c>
      <c r="D485" t="s">
        <v>497</v>
      </c>
      <c r="E485" t="s">
        <v>2385</v>
      </c>
      <c r="F485" t="s">
        <v>2438</v>
      </c>
      <c r="I485" t="s">
        <v>2446</v>
      </c>
      <c r="J485" t="s">
        <v>2450</v>
      </c>
      <c r="K485" t="s">
        <v>2569</v>
      </c>
      <c r="M485" t="s">
        <v>2616</v>
      </c>
    </row>
    <row r="486" spans="1:14">
      <c r="A486" s="1">
        <f>HYPERLINK("https://lsnyc.legalserver.org/matter/dynamic-profile/view/1912779","19-1912779")</f>
        <v>0</v>
      </c>
      <c r="B486" t="s">
        <v>15</v>
      </c>
      <c r="C486" t="s">
        <v>32</v>
      </c>
      <c r="D486" t="s">
        <v>498</v>
      </c>
      <c r="E486" t="s">
        <v>2374</v>
      </c>
      <c r="F486" t="s">
        <v>2438</v>
      </c>
      <c r="J486" t="s">
        <v>2450</v>
      </c>
      <c r="K486" t="s">
        <v>2569</v>
      </c>
      <c r="M486" t="s">
        <v>2616</v>
      </c>
      <c r="N486" t="s">
        <v>2649</v>
      </c>
    </row>
    <row r="487" spans="1:14">
      <c r="A487" s="1">
        <f>HYPERLINK("https://lsnyc.legalserver.org/matter/dynamic-profile/view/1902348","19-1902348")</f>
        <v>0</v>
      </c>
      <c r="B487" t="s">
        <v>16</v>
      </c>
      <c r="C487" t="s">
        <v>23</v>
      </c>
      <c r="D487" t="s">
        <v>499</v>
      </c>
      <c r="E487" t="s">
        <v>2393</v>
      </c>
      <c r="F487" t="s">
        <v>2437</v>
      </c>
      <c r="I487" t="s">
        <v>2446</v>
      </c>
      <c r="J487" t="s">
        <v>2448</v>
      </c>
      <c r="K487" t="s">
        <v>2569</v>
      </c>
      <c r="M487" t="s">
        <v>2637</v>
      </c>
    </row>
    <row r="488" spans="1:14">
      <c r="A488" s="1">
        <f>HYPERLINK("https://lsnyc.legalserver.org/matter/dynamic-profile/view/1902142","19-1902142")</f>
        <v>0</v>
      </c>
      <c r="B488" t="s">
        <v>16</v>
      </c>
      <c r="C488" t="s">
        <v>46</v>
      </c>
      <c r="D488" t="s">
        <v>500</v>
      </c>
      <c r="E488" t="s">
        <v>2393</v>
      </c>
      <c r="F488" t="s">
        <v>2437</v>
      </c>
      <c r="I488" t="s">
        <v>2446</v>
      </c>
      <c r="J488" t="s">
        <v>2452</v>
      </c>
      <c r="K488" t="s">
        <v>2572</v>
      </c>
      <c r="M488" t="s">
        <v>2637</v>
      </c>
    </row>
    <row r="489" spans="1:14">
      <c r="A489" s="1">
        <f>HYPERLINK("https://lsnyc.legalserver.org/matter/dynamic-profile/view/1902147","19-1902147")</f>
        <v>0</v>
      </c>
      <c r="B489" t="s">
        <v>16</v>
      </c>
      <c r="C489" t="s">
        <v>23</v>
      </c>
      <c r="D489" t="s">
        <v>501</v>
      </c>
      <c r="E489" t="s">
        <v>2393</v>
      </c>
      <c r="F489" t="s">
        <v>2437</v>
      </c>
      <c r="I489" t="s">
        <v>2446</v>
      </c>
      <c r="J489" t="s">
        <v>2452</v>
      </c>
      <c r="K489" t="s">
        <v>2572</v>
      </c>
      <c r="M489" t="s">
        <v>2637</v>
      </c>
    </row>
    <row r="490" spans="1:14">
      <c r="A490" s="1">
        <f>HYPERLINK("https://lsnyc.legalserver.org/matter/dynamic-profile/view/1902162","19-1902162")</f>
        <v>0</v>
      </c>
      <c r="B490" t="s">
        <v>16</v>
      </c>
      <c r="C490" t="s">
        <v>23</v>
      </c>
      <c r="D490" t="s">
        <v>502</v>
      </c>
      <c r="E490" t="s">
        <v>2381</v>
      </c>
      <c r="F490" t="s">
        <v>2437</v>
      </c>
      <c r="I490" t="s">
        <v>2446</v>
      </c>
      <c r="J490" t="s">
        <v>2448</v>
      </c>
      <c r="K490" t="s">
        <v>2569</v>
      </c>
      <c r="M490" t="s">
        <v>2622</v>
      </c>
    </row>
    <row r="491" spans="1:14">
      <c r="A491" s="1">
        <f>HYPERLINK("https://lsnyc.legalserver.org/matter/dynamic-profile/view/1902190","19-1902190")</f>
        <v>0</v>
      </c>
      <c r="B491" t="s">
        <v>16</v>
      </c>
      <c r="C491" t="s">
        <v>23</v>
      </c>
      <c r="D491" t="s">
        <v>503</v>
      </c>
      <c r="E491" t="s">
        <v>2385</v>
      </c>
      <c r="F491" t="s">
        <v>2438</v>
      </c>
      <c r="I491" t="s">
        <v>2446</v>
      </c>
      <c r="J491" t="s">
        <v>2450</v>
      </c>
      <c r="K491" t="s">
        <v>2569</v>
      </c>
      <c r="M491" t="s">
        <v>2616</v>
      </c>
    </row>
    <row r="492" spans="1:14">
      <c r="A492" s="1">
        <f>HYPERLINK("https://lsnyc.legalserver.org/matter/dynamic-profile/view/1902198","19-1902198")</f>
        <v>0</v>
      </c>
      <c r="B492" t="s">
        <v>16</v>
      </c>
      <c r="C492" t="s">
        <v>23</v>
      </c>
      <c r="D492" t="s">
        <v>504</v>
      </c>
      <c r="E492" t="s">
        <v>2385</v>
      </c>
      <c r="F492" t="s">
        <v>2438</v>
      </c>
      <c r="I492" t="s">
        <v>2446</v>
      </c>
      <c r="J492" t="s">
        <v>2450</v>
      </c>
      <c r="K492" t="s">
        <v>2569</v>
      </c>
      <c r="M492" t="s">
        <v>2616</v>
      </c>
    </row>
    <row r="493" spans="1:14">
      <c r="A493" s="1">
        <f>HYPERLINK("https://lsnyc.legalserver.org/matter/dynamic-profile/view/1902209","19-1902209")</f>
        <v>0</v>
      </c>
      <c r="B493" t="s">
        <v>16</v>
      </c>
      <c r="C493" t="s">
        <v>23</v>
      </c>
      <c r="D493" t="s">
        <v>505</v>
      </c>
      <c r="E493" t="s">
        <v>2385</v>
      </c>
      <c r="F493" t="s">
        <v>2438</v>
      </c>
      <c r="I493" t="s">
        <v>2446</v>
      </c>
      <c r="J493" t="s">
        <v>2450</v>
      </c>
      <c r="K493" t="s">
        <v>2569</v>
      </c>
      <c r="M493" t="s">
        <v>2616</v>
      </c>
    </row>
    <row r="494" spans="1:14">
      <c r="A494" s="1">
        <f>HYPERLINK("https://lsnyc.legalserver.org/matter/dynamic-profile/view/1902242","19-1902242")</f>
        <v>0</v>
      </c>
      <c r="B494" t="s">
        <v>15</v>
      </c>
      <c r="C494" t="s">
        <v>32</v>
      </c>
      <c r="D494" t="s">
        <v>506</v>
      </c>
      <c r="E494" t="s">
        <v>2374</v>
      </c>
      <c r="F494" t="s">
        <v>2439</v>
      </c>
      <c r="I494" t="s">
        <v>2446</v>
      </c>
      <c r="J494" t="s">
        <v>2449</v>
      </c>
      <c r="K494" t="s">
        <v>2569</v>
      </c>
      <c r="M494" t="s">
        <v>2631</v>
      </c>
    </row>
    <row r="495" spans="1:14">
      <c r="A495" s="1">
        <f>HYPERLINK("https://lsnyc.legalserver.org/matter/dynamic-profile/view/1902262","19-1902262")</f>
        <v>0</v>
      </c>
      <c r="B495" t="s">
        <v>19</v>
      </c>
      <c r="C495" t="s">
        <v>57</v>
      </c>
      <c r="D495" t="s">
        <v>507</v>
      </c>
      <c r="E495" t="s">
        <v>2414</v>
      </c>
      <c r="F495" t="s">
        <v>2442</v>
      </c>
      <c r="G495" t="s">
        <v>2444</v>
      </c>
      <c r="I495" t="s">
        <v>2446</v>
      </c>
      <c r="M495" t="s">
        <v>2643</v>
      </c>
    </row>
    <row r="496" spans="1:14">
      <c r="A496" s="1">
        <f>HYPERLINK("https://lsnyc.legalserver.org/matter/dynamic-profile/view/1902122","19-1902122")</f>
        <v>0</v>
      </c>
      <c r="B496" t="s">
        <v>16</v>
      </c>
      <c r="C496" t="s">
        <v>46</v>
      </c>
      <c r="D496" t="s">
        <v>508</v>
      </c>
      <c r="E496" t="s">
        <v>2393</v>
      </c>
      <c r="F496" t="s">
        <v>2437</v>
      </c>
      <c r="I496" t="s">
        <v>2446</v>
      </c>
      <c r="J496" t="s">
        <v>2457</v>
      </c>
      <c r="K496" t="s">
        <v>2569</v>
      </c>
      <c r="M496" t="s">
        <v>2637</v>
      </c>
    </row>
    <row r="497" spans="1:13">
      <c r="A497" s="1">
        <f>HYPERLINK("https://lsnyc.legalserver.org/matter/dynamic-profile/view/1902123","19-1902123")</f>
        <v>0</v>
      </c>
      <c r="B497" t="s">
        <v>16</v>
      </c>
      <c r="C497" t="s">
        <v>23</v>
      </c>
      <c r="D497" t="s">
        <v>509</v>
      </c>
      <c r="E497" t="s">
        <v>2393</v>
      </c>
      <c r="F497" t="s">
        <v>2437</v>
      </c>
      <c r="I497" t="s">
        <v>2446</v>
      </c>
      <c r="J497" t="s">
        <v>2447</v>
      </c>
      <c r="K497" t="s">
        <v>2572</v>
      </c>
      <c r="M497" t="s">
        <v>2637</v>
      </c>
    </row>
    <row r="498" spans="1:13">
      <c r="A498" s="1">
        <f>HYPERLINK("https://lsnyc.legalserver.org/matter/dynamic-profile/view/1902124","19-1902124")</f>
        <v>0</v>
      </c>
      <c r="B498" t="s">
        <v>16</v>
      </c>
      <c r="C498" t="s">
        <v>23</v>
      </c>
      <c r="D498" t="s">
        <v>510</v>
      </c>
      <c r="E498" t="s">
        <v>2393</v>
      </c>
      <c r="F498" t="s">
        <v>2437</v>
      </c>
      <c r="I498" t="s">
        <v>2446</v>
      </c>
      <c r="J498" t="s">
        <v>2453</v>
      </c>
      <c r="K498" t="s">
        <v>2572</v>
      </c>
      <c r="M498" t="s">
        <v>2637</v>
      </c>
    </row>
    <row r="499" spans="1:13">
      <c r="A499" s="1">
        <f>HYPERLINK("https://lsnyc.legalserver.org/matter/dynamic-profile/view/1902125","19-1902125")</f>
        <v>0</v>
      </c>
      <c r="B499" t="s">
        <v>16</v>
      </c>
      <c r="C499" t="s">
        <v>23</v>
      </c>
      <c r="D499" t="s">
        <v>511</v>
      </c>
      <c r="E499" t="s">
        <v>2393</v>
      </c>
      <c r="F499" t="s">
        <v>2437</v>
      </c>
      <c r="I499" t="s">
        <v>2446</v>
      </c>
      <c r="J499" t="s">
        <v>2448</v>
      </c>
      <c r="K499" t="s">
        <v>2569</v>
      </c>
      <c r="M499" t="s">
        <v>2637</v>
      </c>
    </row>
    <row r="500" spans="1:13">
      <c r="A500" s="1">
        <f>HYPERLINK("https://lsnyc.legalserver.org/matter/dynamic-profile/view/1902128","19-1902128")</f>
        <v>0</v>
      </c>
      <c r="B500" t="s">
        <v>16</v>
      </c>
      <c r="C500" t="s">
        <v>46</v>
      </c>
      <c r="D500" t="s">
        <v>512</v>
      </c>
      <c r="E500" t="s">
        <v>2393</v>
      </c>
      <c r="F500" t="s">
        <v>2437</v>
      </c>
      <c r="I500" t="s">
        <v>2446</v>
      </c>
      <c r="J500" t="s">
        <v>2467</v>
      </c>
      <c r="M500" t="s">
        <v>2637</v>
      </c>
    </row>
    <row r="501" spans="1:13">
      <c r="A501" s="1">
        <f>HYPERLINK("https://lsnyc.legalserver.org/matter/dynamic-profile/view/1902131","19-1902131")</f>
        <v>0</v>
      </c>
      <c r="B501" t="s">
        <v>16</v>
      </c>
      <c r="C501" t="s">
        <v>46</v>
      </c>
      <c r="D501" t="s">
        <v>513</v>
      </c>
      <c r="E501" t="s">
        <v>2393</v>
      </c>
      <c r="F501" t="s">
        <v>2437</v>
      </c>
      <c r="I501" t="s">
        <v>2446</v>
      </c>
      <c r="J501" t="s">
        <v>2452</v>
      </c>
      <c r="K501" t="s">
        <v>2572</v>
      </c>
      <c r="M501" t="s">
        <v>2637</v>
      </c>
    </row>
    <row r="502" spans="1:13">
      <c r="A502" s="1">
        <f>HYPERLINK("https://lsnyc.legalserver.org/matter/dynamic-profile/view/1901964","19-1901964")</f>
        <v>0</v>
      </c>
      <c r="B502" t="s">
        <v>19</v>
      </c>
      <c r="C502" t="s">
        <v>54</v>
      </c>
      <c r="D502" t="s">
        <v>514</v>
      </c>
      <c r="E502" t="s">
        <v>2391</v>
      </c>
      <c r="F502" t="s">
        <v>2437</v>
      </c>
      <c r="I502" t="s">
        <v>2446</v>
      </c>
      <c r="J502" t="s">
        <v>2449</v>
      </c>
      <c r="K502" t="s">
        <v>2569</v>
      </c>
      <c r="L502" t="s">
        <v>2600</v>
      </c>
      <c r="M502" t="s">
        <v>2615</v>
      </c>
    </row>
    <row r="503" spans="1:13">
      <c r="A503" s="1">
        <f>HYPERLINK("https://lsnyc.legalserver.org/matter/dynamic-profile/view/1901965","19-1901965")</f>
        <v>0</v>
      </c>
      <c r="B503" t="s">
        <v>19</v>
      </c>
      <c r="C503" t="s">
        <v>54</v>
      </c>
      <c r="D503" t="s">
        <v>515</v>
      </c>
      <c r="E503" t="s">
        <v>2385</v>
      </c>
      <c r="F503" t="s">
        <v>2438</v>
      </c>
      <c r="I503" t="s">
        <v>2446</v>
      </c>
      <c r="J503" t="s">
        <v>2450</v>
      </c>
      <c r="K503" t="s">
        <v>2569</v>
      </c>
      <c r="L503" t="s">
        <v>2600</v>
      </c>
      <c r="M503" t="s">
        <v>2616</v>
      </c>
    </row>
    <row r="504" spans="1:13">
      <c r="A504" s="1">
        <f>HYPERLINK("https://lsnyc.legalserver.org/matter/dynamic-profile/view/1901966","19-1901966")</f>
        <v>0</v>
      </c>
      <c r="B504" t="s">
        <v>19</v>
      </c>
      <c r="C504" t="s">
        <v>54</v>
      </c>
      <c r="D504" t="s">
        <v>516</v>
      </c>
      <c r="E504" t="s">
        <v>2385</v>
      </c>
      <c r="F504" t="s">
        <v>2438</v>
      </c>
      <c r="I504" t="s">
        <v>2446</v>
      </c>
      <c r="J504" t="s">
        <v>2465</v>
      </c>
      <c r="K504" t="s">
        <v>2569</v>
      </c>
      <c r="L504" t="s">
        <v>2600</v>
      </c>
      <c r="M504" t="s">
        <v>2616</v>
      </c>
    </row>
    <row r="505" spans="1:13">
      <c r="A505" s="1">
        <f>HYPERLINK("https://lsnyc.legalserver.org/matter/dynamic-profile/view/1901969","19-1901969")</f>
        <v>0</v>
      </c>
      <c r="B505" t="s">
        <v>19</v>
      </c>
      <c r="C505" t="s">
        <v>54</v>
      </c>
      <c r="D505" t="s">
        <v>517</v>
      </c>
      <c r="E505" t="s">
        <v>2385</v>
      </c>
      <c r="F505" t="s">
        <v>2438</v>
      </c>
      <c r="I505" t="s">
        <v>2446</v>
      </c>
      <c r="J505" t="s">
        <v>2450</v>
      </c>
      <c r="K505" t="s">
        <v>2569</v>
      </c>
      <c r="L505" t="s">
        <v>2600</v>
      </c>
      <c r="M505" t="s">
        <v>2616</v>
      </c>
    </row>
    <row r="506" spans="1:13">
      <c r="A506" s="1">
        <f>HYPERLINK("https://lsnyc.legalserver.org/matter/dynamic-profile/view/1902066","19-1902066")</f>
        <v>0</v>
      </c>
      <c r="B506" t="s">
        <v>19</v>
      </c>
      <c r="C506" t="s">
        <v>58</v>
      </c>
      <c r="D506" t="s">
        <v>518</v>
      </c>
      <c r="E506" t="s">
        <v>2376</v>
      </c>
      <c r="F506" t="s">
        <v>2437</v>
      </c>
      <c r="J506" t="s">
        <v>2455</v>
      </c>
      <c r="K506" t="s">
        <v>2569</v>
      </c>
      <c r="L506" t="s">
        <v>2600</v>
      </c>
      <c r="M506" t="s">
        <v>2618</v>
      </c>
    </row>
    <row r="507" spans="1:13">
      <c r="A507" s="1">
        <f>HYPERLINK("https://lsnyc.legalserver.org/matter/dynamic-profile/view/1902073","19-1902073")</f>
        <v>0</v>
      </c>
      <c r="B507" t="s">
        <v>19</v>
      </c>
      <c r="C507" t="s">
        <v>59</v>
      </c>
      <c r="D507" t="s">
        <v>519</v>
      </c>
      <c r="E507" t="s">
        <v>2376</v>
      </c>
      <c r="F507" t="s">
        <v>2437</v>
      </c>
      <c r="I507" t="s">
        <v>2446</v>
      </c>
      <c r="J507" t="s">
        <v>2471</v>
      </c>
      <c r="K507" t="s">
        <v>2571</v>
      </c>
      <c r="L507" t="s">
        <v>2600</v>
      </c>
      <c r="M507" t="s">
        <v>2626</v>
      </c>
    </row>
    <row r="508" spans="1:13">
      <c r="A508" s="1">
        <f>HYPERLINK("https://lsnyc.legalserver.org/matter/dynamic-profile/view/1902104","19-1902104")</f>
        <v>0</v>
      </c>
      <c r="B508" t="s">
        <v>16</v>
      </c>
      <c r="C508" t="s">
        <v>46</v>
      </c>
      <c r="D508" t="s">
        <v>477</v>
      </c>
      <c r="E508" t="s">
        <v>2374</v>
      </c>
      <c r="F508" t="s">
        <v>2438</v>
      </c>
      <c r="G508" t="s">
        <v>2444</v>
      </c>
      <c r="I508" t="s">
        <v>2446</v>
      </c>
      <c r="J508" t="s">
        <v>2465</v>
      </c>
      <c r="K508" t="s">
        <v>2569</v>
      </c>
      <c r="M508" t="s">
        <v>2616</v>
      </c>
    </row>
    <row r="509" spans="1:13">
      <c r="A509" s="1">
        <f>HYPERLINK("https://lsnyc.legalserver.org/matter/dynamic-profile/view/1903217","19-1903217")</f>
        <v>0</v>
      </c>
      <c r="B509" t="s">
        <v>15</v>
      </c>
      <c r="C509" t="s">
        <v>32</v>
      </c>
      <c r="D509" t="s">
        <v>483</v>
      </c>
      <c r="E509" t="s">
        <v>2374</v>
      </c>
      <c r="F509" t="s">
        <v>2438</v>
      </c>
      <c r="J509" t="s">
        <v>2447</v>
      </c>
      <c r="K509" t="s">
        <v>2569</v>
      </c>
      <c r="M509" t="s">
        <v>2616</v>
      </c>
    </row>
    <row r="510" spans="1:13">
      <c r="A510" s="1">
        <f>HYPERLINK("https://lsnyc.legalserver.org/matter/dynamic-profile/view/1901928","19-1901928")</f>
        <v>0</v>
      </c>
      <c r="B510" t="s">
        <v>15</v>
      </c>
      <c r="C510" t="s">
        <v>22</v>
      </c>
      <c r="D510" t="s">
        <v>520</v>
      </c>
      <c r="E510" t="s">
        <v>2371</v>
      </c>
      <c r="F510" t="s">
        <v>2440</v>
      </c>
      <c r="L510" t="s">
        <v>2602</v>
      </c>
      <c r="M510" t="s">
        <v>2636</v>
      </c>
    </row>
    <row r="511" spans="1:13">
      <c r="A511" s="1">
        <f>HYPERLINK("https://lsnyc.legalserver.org/matter/dynamic-profile/view/1901893","19-1901893")</f>
        <v>0</v>
      </c>
      <c r="B511" t="s">
        <v>16</v>
      </c>
      <c r="C511" t="s">
        <v>23</v>
      </c>
      <c r="D511" t="s">
        <v>521</v>
      </c>
      <c r="E511" t="s">
        <v>2393</v>
      </c>
      <c r="F511" t="s">
        <v>2437</v>
      </c>
      <c r="J511" t="s">
        <v>2447</v>
      </c>
      <c r="K511" t="s">
        <v>2569</v>
      </c>
      <c r="M511" t="s">
        <v>2637</v>
      </c>
    </row>
    <row r="512" spans="1:13">
      <c r="A512" s="1">
        <f>HYPERLINK("https://lsnyc.legalserver.org/matter/dynamic-profile/view/1901895","19-1901895")</f>
        <v>0</v>
      </c>
      <c r="B512" t="s">
        <v>16</v>
      </c>
      <c r="C512" t="s">
        <v>23</v>
      </c>
      <c r="D512" t="s">
        <v>521</v>
      </c>
      <c r="E512" t="s">
        <v>2406</v>
      </c>
      <c r="F512" t="s">
        <v>2437</v>
      </c>
      <c r="I512" t="s">
        <v>2446</v>
      </c>
      <c r="J512" t="s">
        <v>2447</v>
      </c>
      <c r="K512" t="s">
        <v>2569</v>
      </c>
      <c r="M512" t="s">
        <v>2642</v>
      </c>
    </row>
    <row r="513" spans="1:13">
      <c r="A513" s="1">
        <f>HYPERLINK("https://lsnyc.legalserver.org/matter/dynamic-profile/view/1901913","19-1901913")</f>
        <v>0</v>
      </c>
      <c r="B513" t="s">
        <v>16</v>
      </c>
      <c r="C513" t="s">
        <v>46</v>
      </c>
      <c r="D513" t="s">
        <v>522</v>
      </c>
      <c r="E513" t="s">
        <v>2393</v>
      </c>
      <c r="F513" t="s">
        <v>2437</v>
      </c>
      <c r="I513" t="s">
        <v>2446</v>
      </c>
      <c r="J513" t="s">
        <v>2448</v>
      </c>
      <c r="K513" t="s">
        <v>2569</v>
      </c>
      <c r="L513" t="s">
        <v>2600</v>
      </c>
      <c r="M513" t="s">
        <v>2637</v>
      </c>
    </row>
    <row r="514" spans="1:13">
      <c r="A514" s="1">
        <f>HYPERLINK("https://lsnyc.legalserver.org/matter/dynamic-profile/view/1901919","19-1901919")</f>
        <v>0</v>
      </c>
      <c r="B514" t="s">
        <v>16</v>
      </c>
      <c r="C514" t="s">
        <v>46</v>
      </c>
      <c r="D514" t="s">
        <v>523</v>
      </c>
      <c r="E514" t="s">
        <v>2393</v>
      </c>
      <c r="F514" t="s">
        <v>2437</v>
      </c>
      <c r="I514" t="s">
        <v>2446</v>
      </c>
      <c r="J514" t="s">
        <v>2447</v>
      </c>
      <c r="K514" t="s">
        <v>2569</v>
      </c>
      <c r="M514" t="s">
        <v>2637</v>
      </c>
    </row>
    <row r="515" spans="1:13">
      <c r="A515" s="1">
        <f>HYPERLINK("https://lsnyc.legalserver.org/matter/dynamic-profile/view/1901925","19-1901925")</f>
        <v>0</v>
      </c>
      <c r="B515" t="s">
        <v>16</v>
      </c>
      <c r="C515" t="s">
        <v>23</v>
      </c>
      <c r="D515" t="s">
        <v>524</v>
      </c>
      <c r="E515" t="s">
        <v>2393</v>
      </c>
      <c r="F515" t="s">
        <v>2437</v>
      </c>
      <c r="I515" t="s">
        <v>2446</v>
      </c>
      <c r="J515" t="s">
        <v>2448</v>
      </c>
      <c r="K515" t="s">
        <v>2569</v>
      </c>
      <c r="M515" t="s">
        <v>2637</v>
      </c>
    </row>
    <row r="516" spans="1:13">
      <c r="A516" s="1">
        <f>HYPERLINK("https://lsnyc.legalserver.org/matter/dynamic-profile/view/1901932","19-1901932")</f>
        <v>0</v>
      </c>
      <c r="B516" t="s">
        <v>16</v>
      </c>
      <c r="C516" t="s">
        <v>46</v>
      </c>
      <c r="D516" t="s">
        <v>492</v>
      </c>
      <c r="E516" t="s">
        <v>2391</v>
      </c>
      <c r="F516" t="s">
        <v>2437</v>
      </c>
      <c r="I516" t="s">
        <v>2446</v>
      </c>
      <c r="J516" t="s">
        <v>2465</v>
      </c>
      <c r="K516" t="s">
        <v>2569</v>
      </c>
      <c r="M516" t="s">
        <v>2615</v>
      </c>
    </row>
    <row r="517" spans="1:13">
      <c r="A517" s="1">
        <f>HYPERLINK("https://lsnyc.legalserver.org/matter/dynamic-profile/view/1901959","19-1901959")</f>
        <v>0</v>
      </c>
      <c r="B517" t="s">
        <v>16</v>
      </c>
      <c r="C517" t="s">
        <v>46</v>
      </c>
      <c r="D517" t="s">
        <v>492</v>
      </c>
      <c r="E517" t="s">
        <v>2413</v>
      </c>
      <c r="F517" t="s">
        <v>2437</v>
      </c>
      <c r="I517" t="s">
        <v>2446</v>
      </c>
      <c r="J517" t="s">
        <v>2465</v>
      </c>
      <c r="K517" t="s">
        <v>2569</v>
      </c>
      <c r="L517" t="s">
        <v>2600</v>
      </c>
      <c r="M517" t="s">
        <v>2629</v>
      </c>
    </row>
    <row r="518" spans="1:13">
      <c r="A518" s="1">
        <f>HYPERLINK("https://lsnyc.legalserver.org/matter/dynamic-profile/view/1901960","19-1901960")</f>
        <v>0</v>
      </c>
      <c r="B518" t="s">
        <v>16</v>
      </c>
      <c r="C518" t="s">
        <v>23</v>
      </c>
      <c r="D518" t="s">
        <v>478</v>
      </c>
      <c r="E518" t="s">
        <v>2391</v>
      </c>
      <c r="F518" t="s">
        <v>2437</v>
      </c>
      <c r="I518" t="s">
        <v>2446</v>
      </c>
      <c r="J518" t="s">
        <v>2450</v>
      </c>
      <c r="K518" t="s">
        <v>2569</v>
      </c>
      <c r="M518" t="s">
        <v>2615</v>
      </c>
    </row>
    <row r="519" spans="1:13">
      <c r="A519" s="1">
        <f>HYPERLINK("https://lsnyc.legalserver.org/matter/dynamic-profile/view/1902496","19-1902496")</f>
        <v>0</v>
      </c>
      <c r="B519" t="s">
        <v>17</v>
      </c>
      <c r="C519" t="s">
        <v>25</v>
      </c>
      <c r="D519" t="s">
        <v>135</v>
      </c>
      <c r="E519" t="s">
        <v>2385</v>
      </c>
      <c r="F519" t="s">
        <v>2438</v>
      </c>
      <c r="I519" t="s">
        <v>2446</v>
      </c>
      <c r="J519" t="s">
        <v>2450</v>
      </c>
      <c r="K519" t="s">
        <v>2569</v>
      </c>
      <c r="M519" t="s">
        <v>2616</v>
      </c>
    </row>
    <row r="520" spans="1:13">
      <c r="A520" s="1">
        <f>HYPERLINK("https://lsnyc.legalserver.org/matter/dynamic-profile/view/1902498","19-1902498")</f>
        <v>0</v>
      </c>
      <c r="B520" t="s">
        <v>17</v>
      </c>
      <c r="C520" t="s">
        <v>25</v>
      </c>
      <c r="D520" t="s">
        <v>525</v>
      </c>
      <c r="E520" t="s">
        <v>2385</v>
      </c>
      <c r="F520" t="s">
        <v>2438</v>
      </c>
      <c r="I520" t="s">
        <v>2446</v>
      </c>
      <c r="J520" t="s">
        <v>2465</v>
      </c>
      <c r="K520" t="s">
        <v>2569</v>
      </c>
      <c r="L520" t="s">
        <v>2600</v>
      </c>
      <c r="M520" t="s">
        <v>2616</v>
      </c>
    </row>
    <row r="521" spans="1:13">
      <c r="A521" s="1">
        <f>HYPERLINK("https://lsnyc.legalserver.org/matter/dynamic-profile/view/1901835","19-1901835")</f>
        <v>0</v>
      </c>
      <c r="B521" t="s">
        <v>17</v>
      </c>
      <c r="C521" t="s">
        <v>60</v>
      </c>
      <c r="D521" t="s">
        <v>526</v>
      </c>
      <c r="E521" t="s">
        <v>2400</v>
      </c>
      <c r="F521" t="s">
        <v>2437</v>
      </c>
      <c r="J521" t="s">
        <v>2457</v>
      </c>
      <c r="K521" t="s">
        <v>2569</v>
      </c>
      <c r="L521" t="s">
        <v>2604</v>
      </c>
      <c r="M521" t="s">
        <v>2635</v>
      </c>
    </row>
    <row r="522" spans="1:13">
      <c r="A522" s="1">
        <f>HYPERLINK("https://lsnyc.legalserver.org/matter/dynamic-profile/view/1901730","19-1901730")</f>
        <v>0</v>
      </c>
      <c r="B522" t="s">
        <v>16</v>
      </c>
      <c r="C522" t="s">
        <v>23</v>
      </c>
      <c r="D522" t="s">
        <v>527</v>
      </c>
      <c r="E522" t="s">
        <v>2385</v>
      </c>
      <c r="F522" t="s">
        <v>2438</v>
      </c>
      <c r="I522" t="s">
        <v>2446</v>
      </c>
      <c r="J522" t="s">
        <v>2450</v>
      </c>
      <c r="M522" t="s">
        <v>2616</v>
      </c>
    </row>
    <row r="523" spans="1:13">
      <c r="A523" s="1">
        <f>HYPERLINK("https://lsnyc.legalserver.org/matter/dynamic-profile/view/1901734","19-1901734")</f>
        <v>0</v>
      </c>
      <c r="B523" t="s">
        <v>16</v>
      </c>
      <c r="C523" t="s">
        <v>23</v>
      </c>
      <c r="D523" t="s">
        <v>528</v>
      </c>
      <c r="E523" t="s">
        <v>2374</v>
      </c>
      <c r="F523" t="s">
        <v>2438</v>
      </c>
      <c r="I523" t="s">
        <v>2446</v>
      </c>
      <c r="J523" t="s">
        <v>2450</v>
      </c>
      <c r="K523" t="s">
        <v>2569</v>
      </c>
      <c r="M523" t="s">
        <v>2616</v>
      </c>
    </row>
    <row r="524" spans="1:13">
      <c r="A524" s="1">
        <f>HYPERLINK("https://lsnyc.legalserver.org/matter/dynamic-profile/view/1901748","19-1901748")</f>
        <v>0</v>
      </c>
      <c r="B524" t="s">
        <v>15</v>
      </c>
      <c r="C524" t="s">
        <v>29</v>
      </c>
      <c r="D524" t="s">
        <v>529</v>
      </c>
      <c r="E524" t="s">
        <v>2403</v>
      </c>
      <c r="G524" t="s">
        <v>2444</v>
      </c>
      <c r="K524" t="s">
        <v>2569</v>
      </c>
      <c r="M524" t="s">
        <v>2639</v>
      </c>
    </row>
    <row r="525" spans="1:13">
      <c r="A525" s="1">
        <f>HYPERLINK("https://lsnyc.legalserver.org/matter/dynamic-profile/view/1901794","19-1901794")</f>
        <v>0</v>
      </c>
      <c r="B525" t="s">
        <v>17</v>
      </c>
      <c r="C525" t="s">
        <v>56</v>
      </c>
      <c r="D525" t="s">
        <v>530</v>
      </c>
      <c r="E525" t="s">
        <v>2376</v>
      </c>
      <c r="F525" t="s">
        <v>2437</v>
      </c>
      <c r="I525" t="s">
        <v>2446</v>
      </c>
      <c r="J525" t="s">
        <v>2457</v>
      </c>
      <c r="K525" t="s">
        <v>2569</v>
      </c>
      <c r="M525" t="s">
        <v>2618</v>
      </c>
    </row>
    <row r="526" spans="1:13">
      <c r="A526" s="1">
        <f>HYPERLINK("https://lsnyc.legalserver.org/matter/dynamic-profile/view/1901798","19-1901798")</f>
        <v>0</v>
      </c>
      <c r="B526" t="s">
        <v>18</v>
      </c>
      <c r="C526" t="s">
        <v>45</v>
      </c>
      <c r="D526" t="s">
        <v>531</v>
      </c>
      <c r="E526" t="s">
        <v>2385</v>
      </c>
      <c r="F526" t="s">
        <v>2438</v>
      </c>
      <c r="I526" t="s">
        <v>2446</v>
      </c>
      <c r="J526" t="s">
        <v>2449</v>
      </c>
      <c r="K526" t="s">
        <v>2569</v>
      </c>
      <c r="M526" t="s">
        <v>2616</v>
      </c>
    </row>
    <row r="527" spans="1:13">
      <c r="A527" s="1">
        <f>HYPERLINK("https://lsnyc.legalserver.org/matter/dynamic-profile/view/1901803","19-1901803")</f>
        <v>0</v>
      </c>
      <c r="B527" t="s">
        <v>18</v>
      </c>
      <c r="C527" t="s">
        <v>45</v>
      </c>
      <c r="D527" t="s">
        <v>532</v>
      </c>
      <c r="E527" t="s">
        <v>2374</v>
      </c>
      <c r="J527" t="s">
        <v>2449</v>
      </c>
      <c r="K527" t="s">
        <v>2569</v>
      </c>
      <c r="M527" t="s">
        <v>2616</v>
      </c>
    </row>
    <row r="528" spans="1:13">
      <c r="A528" s="1">
        <f>HYPERLINK("https://lsnyc.legalserver.org/matter/dynamic-profile/view/1901805","19-1901805")</f>
        <v>0</v>
      </c>
      <c r="B528" t="s">
        <v>18</v>
      </c>
      <c r="C528" t="s">
        <v>45</v>
      </c>
      <c r="D528" t="s">
        <v>532</v>
      </c>
      <c r="E528" t="s">
        <v>2385</v>
      </c>
      <c r="F528" t="s">
        <v>2438</v>
      </c>
      <c r="I528" t="s">
        <v>2446</v>
      </c>
      <c r="J528" t="s">
        <v>2449</v>
      </c>
      <c r="K528" t="s">
        <v>2569</v>
      </c>
      <c r="M528" t="s">
        <v>2616</v>
      </c>
    </row>
    <row r="529" spans="1:14">
      <c r="A529" s="1">
        <f>HYPERLINK("https://lsnyc.legalserver.org/matter/dynamic-profile/view/1901807","19-1901807")</f>
        <v>0</v>
      </c>
      <c r="B529" t="s">
        <v>18</v>
      </c>
      <c r="C529" t="s">
        <v>45</v>
      </c>
      <c r="D529" t="s">
        <v>532</v>
      </c>
      <c r="E529" t="s">
        <v>2387</v>
      </c>
      <c r="F529" t="s">
        <v>2437</v>
      </c>
      <c r="I529" t="s">
        <v>2446</v>
      </c>
      <c r="J529" t="s">
        <v>2449</v>
      </c>
      <c r="K529" t="s">
        <v>2569</v>
      </c>
      <c r="M529" t="s">
        <v>2629</v>
      </c>
    </row>
    <row r="530" spans="1:14">
      <c r="A530" s="1">
        <f>HYPERLINK("https://lsnyc.legalserver.org/matter/dynamic-profile/view/1901810","19-1901810")</f>
        <v>0</v>
      </c>
      <c r="B530" t="s">
        <v>16</v>
      </c>
      <c r="C530" t="s">
        <v>46</v>
      </c>
      <c r="D530" t="s">
        <v>533</v>
      </c>
      <c r="E530" t="s">
        <v>2393</v>
      </c>
      <c r="F530" t="s">
        <v>2437</v>
      </c>
      <c r="I530" t="s">
        <v>2446</v>
      </c>
      <c r="J530" t="s">
        <v>2457</v>
      </c>
      <c r="M530" t="s">
        <v>2637</v>
      </c>
    </row>
    <row r="531" spans="1:14">
      <c r="A531" s="1">
        <f>HYPERLINK("https://lsnyc.legalserver.org/matter/dynamic-profile/view/1901824","19-1901824")</f>
        <v>0</v>
      </c>
      <c r="B531" t="s">
        <v>16</v>
      </c>
      <c r="C531" t="s">
        <v>46</v>
      </c>
      <c r="D531" t="s">
        <v>534</v>
      </c>
      <c r="E531" t="s">
        <v>2393</v>
      </c>
      <c r="F531" t="s">
        <v>2437</v>
      </c>
      <c r="I531" t="s">
        <v>2446</v>
      </c>
      <c r="J531" t="s">
        <v>2465</v>
      </c>
      <c r="K531" t="s">
        <v>2572</v>
      </c>
      <c r="M531" t="s">
        <v>2637</v>
      </c>
    </row>
    <row r="532" spans="1:14">
      <c r="A532" s="1">
        <f>HYPERLINK("https://lsnyc.legalserver.org/matter/dynamic-profile/view/1901710","19-1901710")</f>
        <v>0</v>
      </c>
      <c r="B532" t="s">
        <v>18</v>
      </c>
      <c r="C532" t="s">
        <v>35</v>
      </c>
      <c r="D532" t="s">
        <v>535</v>
      </c>
      <c r="E532" t="s">
        <v>2393</v>
      </c>
      <c r="F532" t="s">
        <v>2437</v>
      </c>
      <c r="I532" t="s">
        <v>2446</v>
      </c>
      <c r="J532" t="s">
        <v>2509</v>
      </c>
      <c r="K532" t="s">
        <v>2571</v>
      </c>
      <c r="L532" t="s">
        <v>2603</v>
      </c>
      <c r="M532" t="s">
        <v>2637</v>
      </c>
    </row>
    <row r="533" spans="1:14">
      <c r="A533" s="1">
        <f>HYPERLINK("https://lsnyc.legalserver.org/matter/dynamic-profile/view/1901667","19-1901667")</f>
        <v>0</v>
      </c>
      <c r="B533" t="s">
        <v>18</v>
      </c>
      <c r="C533" t="s">
        <v>35</v>
      </c>
      <c r="D533" t="s">
        <v>535</v>
      </c>
      <c r="E533" t="s">
        <v>2376</v>
      </c>
      <c r="F533" t="s">
        <v>2437</v>
      </c>
      <c r="I533" t="s">
        <v>2446</v>
      </c>
      <c r="J533" t="s">
        <v>2509</v>
      </c>
      <c r="K533" t="s">
        <v>2571</v>
      </c>
      <c r="L533" t="s">
        <v>2603</v>
      </c>
      <c r="M533" t="s">
        <v>2618</v>
      </c>
    </row>
    <row r="534" spans="1:14">
      <c r="A534" s="1">
        <f>HYPERLINK("https://lsnyc.legalserver.org/matter/dynamic-profile/view/1901580","19-1901580")</f>
        <v>0</v>
      </c>
      <c r="B534" t="s">
        <v>14</v>
      </c>
      <c r="C534" t="s">
        <v>21</v>
      </c>
      <c r="D534" t="s">
        <v>536</v>
      </c>
      <c r="E534" t="s">
        <v>2376</v>
      </c>
      <c r="F534" t="s">
        <v>2437</v>
      </c>
      <c r="I534" t="s">
        <v>2446</v>
      </c>
      <c r="J534" t="s">
        <v>2450</v>
      </c>
      <c r="K534" t="s">
        <v>2569</v>
      </c>
      <c r="L534" t="s">
        <v>2600</v>
      </c>
      <c r="M534" t="s">
        <v>2618</v>
      </c>
    </row>
    <row r="535" spans="1:14">
      <c r="A535" s="1">
        <f>HYPERLINK("https://lsnyc.legalserver.org/matter/dynamic-profile/view/1901591","19-1901591")</f>
        <v>0</v>
      </c>
      <c r="B535" t="s">
        <v>14</v>
      </c>
      <c r="C535" t="s">
        <v>21</v>
      </c>
      <c r="D535" t="s">
        <v>537</v>
      </c>
      <c r="E535" t="s">
        <v>2374</v>
      </c>
      <c r="F535" t="s">
        <v>2438</v>
      </c>
      <c r="G535" t="s">
        <v>2444</v>
      </c>
      <c r="J535" t="s">
        <v>2450</v>
      </c>
      <c r="K535" t="s">
        <v>2569</v>
      </c>
      <c r="M535" t="s">
        <v>2616</v>
      </c>
      <c r="N535" t="s">
        <v>2649</v>
      </c>
    </row>
    <row r="536" spans="1:14">
      <c r="A536" s="1">
        <f>HYPERLINK("https://lsnyc.legalserver.org/matter/dynamic-profile/view/1901602","19-1901602")</f>
        <v>0</v>
      </c>
      <c r="B536" t="s">
        <v>14</v>
      </c>
      <c r="C536" t="s">
        <v>21</v>
      </c>
      <c r="D536" t="s">
        <v>346</v>
      </c>
      <c r="E536" t="s">
        <v>2374</v>
      </c>
      <c r="F536" t="s">
        <v>2438</v>
      </c>
      <c r="J536" t="s">
        <v>2450</v>
      </c>
      <c r="K536" t="s">
        <v>2569</v>
      </c>
      <c r="L536" t="s">
        <v>2606</v>
      </c>
      <c r="M536" t="s">
        <v>2616</v>
      </c>
    </row>
    <row r="537" spans="1:14">
      <c r="A537" s="1">
        <f>HYPERLINK("https://lsnyc.legalserver.org/matter/dynamic-profile/view/1901617","19-1901617")</f>
        <v>0</v>
      </c>
      <c r="B537" t="s">
        <v>16</v>
      </c>
      <c r="C537" t="s">
        <v>23</v>
      </c>
      <c r="D537" t="s">
        <v>538</v>
      </c>
      <c r="E537" t="s">
        <v>2380</v>
      </c>
      <c r="F537" t="s">
        <v>2437</v>
      </c>
      <c r="G537" t="s">
        <v>2444</v>
      </c>
      <c r="I537" t="s">
        <v>2446</v>
      </c>
      <c r="J537" t="s">
        <v>2447</v>
      </c>
      <c r="K537" t="s">
        <v>2569</v>
      </c>
      <c r="M537" t="s">
        <v>2621</v>
      </c>
    </row>
    <row r="538" spans="1:14">
      <c r="A538" s="1">
        <f>HYPERLINK("https://lsnyc.legalserver.org/matter/dynamic-profile/view/1901629","19-1901629")</f>
        <v>0</v>
      </c>
      <c r="B538" t="s">
        <v>16</v>
      </c>
      <c r="C538" t="s">
        <v>46</v>
      </c>
      <c r="D538" t="s">
        <v>539</v>
      </c>
      <c r="E538" t="s">
        <v>2393</v>
      </c>
      <c r="F538" t="s">
        <v>2437</v>
      </c>
      <c r="I538" t="s">
        <v>2446</v>
      </c>
      <c r="J538" t="s">
        <v>2490</v>
      </c>
      <c r="M538" t="s">
        <v>2637</v>
      </c>
    </row>
    <row r="539" spans="1:14">
      <c r="A539" s="1">
        <f>HYPERLINK("https://lsnyc.legalserver.org/matter/dynamic-profile/view/1901647","19-1901647")</f>
        <v>0</v>
      </c>
      <c r="B539" t="s">
        <v>16</v>
      </c>
      <c r="C539" t="s">
        <v>46</v>
      </c>
      <c r="D539" t="s">
        <v>540</v>
      </c>
      <c r="E539" t="s">
        <v>2393</v>
      </c>
      <c r="F539" t="s">
        <v>2437</v>
      </c>
      <c r="I539" t="s">
        <v>2446</v>
      </c>
      <c r="J539" t="s">
        <v>2490</v>
      </c>
      <c r="L539" t="s">
        <v>2600</v>
      </c>
      <c r="M539" t="s">
        <v>2637</v>
      </c>
    </row>
    <row r="540" spans="1:14">
      <c r="A540" s="1">
        <f>HYPERLINK("https://lsnyc.legalserver.org/matter/dynamic-profile/view/1901668","19-1901668")</f>
        <v>0</v>
      </c>
      <c r="B540" t="s">
        <v>16</v>
      </c>
      <c r="C540" t="s">
        <v>46</v>
      </c>
      <c r="D540" t="s">
        <v>541</v>
      </c>
      <c r="E540" t="s">
        <v>2393</v>
      </c>
      <c r="F540" t="s">
        <v>2437</v>
      </c>
      <c r="I540" t="s">
        <v>2446</v>
      </c>
      <c r="J540" t="s">
        <v>2471</v>
      </c>
      <c r="L540" t="s">
        <v>2600</v>
      </c>
      <c r="M540" t="s">
        <v>2637</v>
      </c>
    </row>
    <row r="541" spans="1:14">
      <c r="A541" s="1">
        <f>HYPERLINK("https://lsnyc.legalserver.org/matter/dynamic-profile/view/1901683","19-1901683")</f>
        <v>0</v>
      </c>
      <c r="B541" t="s">
        <v>17</v>
      </c>
      <c r="C541" t="s">
        <v>28</v>
      </c>
      <c r="D541" t="s">
        <v>542</v>
      </c>
      <c r="E541" t="s">
        <v>2376</v>
      </c>
      <c r="F541" t="s">
        <v>2437</v>
      </c>
      <c r="I541" t="s">
        <v>2446</v>
      </c>
      <c r="J541" t="s">
        <v>2450</v>
      </c>
      <c r="K541" t="s">
        <v>2569</v>
      </c>
      <c r="L541" t="s">
        <v>2600</v>
      </c>
      <c r="M541" t="s">
        <v>2618</v>
      </c>
    </row>
    <row r="542" spans="1:14">
      <c r="A542" s="1">
        <f>HYPERLINK("https://lsnyc.legalserver.org/matter/dynamic-profile/view/1901685","19-1901685")</f>
        <v>0</v>
      </c>
      <c r="B542" t="s">
        <v>17</v>
      </c>
      <c r="C542" t="s">
        <v>28</v>
      </c>
      <c r="D542" t="s">
        <v>543</v>
      </c>
      <c r="E542" t="s">
        <v>2376</v>
      </c>
      <c r="F542" t="s">
        <v>2437</v>
      </c>
      <c r="I542" t="s">
        <v>2446</v>
      </c>
      <c r="J542" t="s">
        <v>2450</v>
      </c>
      <c r="K542" t="s">
        <v>2569</v>
      </c>
      <c r="L542" t="s">
        <v>2600</v>
      </c>
      <c r="M542" t="s">
        <v>2618</v>
      </c>
    </row>
    <row r="543" spans="1:14">
      <c r="A543" s="1">
        <f>HYPERLINK("https://lsnyc.legalserver.org/matter/dynamic-profile/view/1901698","19-1901698")</f>
        <v>0</v>
      </c>
      <c r="B543" t="s">
        <v>14</v>
      </c>
      <c r="C543" t="s">
        <v>61</v>
      </c>
      <c r="D543" t="s">
        <v>544</v>
      </c>
      <c r="F543" t="s">
        <v>2436</v>
      </c>
      <c r="K543" t="s">
        <v>2569</v>
      </c>
      <c r="M543" t="s">
        <v>2436</v>
      </c>
    </row>
    <row r="544" spans="1:14">
      <c r="A544" s="1">
        <f>HYPERLINK("https://lsnyc.legalserver.org/matter/dynamic-profile/view/1901829","19-1901829")</f>
        <v>0</v>
      </c>
      <c r="B544" t="s">
        <v>17</v>
      </c>
      <c r="C544" t="s">
        <v>56</v>
      </c>
      <c r="D544" t="s">
        <v>545</v>
      </c>
      <c r="F544" t="s">
        <v>2443</v>
      </c>
      <c r="G544" t="s">
        <v>2444</v>
      </c>
      <c r="K544" t="s">
        <v>2569</v>
      </c>
      <c r="M544" t="s">
        <v>2614</v>
      </c>
    </row>
    <row r="545" spans="1:14">
      <c r="A545" s="1">
        <f>HYPERLINK("https://lsnyc.legalserver.org/matter/dynamic-profile/view/1901841","19-1901841")</f>
        <v>0</v>
      </c>
      <c r="B545" t="s">
        <v>17</v>
      </c>
      <c r="C545" t="s">
        <v>56</v>
      </c>
      <c r="D545" t="s">
        <v>546</v>
      </c>
      <c r="F545" t="s">
        <v>2443</v>
      </c>
      <c r="K545" t="s">
        <v>2569</v>
      </c>
      <c r="M545" t="s">
        <v>2614</v>
      </c>
    </row>
    <row r="546" spans="1:14">
      <c r="A546" s="1">
        <f>HYPERLINK("https://lsnyc.legalserver.org/matter/dynamic-profile/view/1901856","19-1901856")</f>
        <v>0</v>
      </c>
      <c r="B546" t="s">
        <v>17</v>
      </c>
      <c r="C546" t="s">
        <v>56</v>
      </c>
      <c r="D546" t="s">
        <v>547</v>
      </c>
      <c r="G546" t="s">
        <v>2444</v>
      </c>
      <c r="K546" t="s">
        <v>2569</v>
      </c>
      <c r="M546" t="s">
        <v>2614</v>
      </c>
    </row>
    <row r="547" spans="1:14">
      <c r="A547" s="1">
        <f>HYPERLINK("https://lsnyc.legalserver.org/matter/dynamic-profile/view/1901860","19-1901860")</f>
        <v>0</v>
      </c>
      <c r="B547" t="s">
        <v>17</v>
      </c>
      <c r="C547" t="s">
        <v>56</v>
      </c>
      <c r="D547" t="s">
        <v>548</v>
      </c>
      <c r="F547" t="s">
        <v>2443</v>
      </c>
      <c r="K547" t="s">
        <v>2569</v>
      </c>
      <c r="M547" t="s">
        <v>2614</v>
      </c>
    </row>
    <row r="548" spans="1:14">
      <c r="A548" s="1">
        <f>HYPERLINK("https://lsnyc.legalserver.org/matter/dynamic-profile/view/1901862","19-1901862")</f>
        <v>0</v>
      </c>
      <c r="B548" t="s">
        <v>17</v>
      </c>
      <c r="C548" t="s">
        <v>56</v>
      </c>
      <c r="D548" t="s">
        <v>549</v>
      </c>
      <c r="F548" t="s">
        <v>2443</v>
      </c>
      <c r="G548" t="s">
        <v>2444</v>
      </c>
      <c r="K548" t="s">
        <v>2569</v>
      </c>
      <c r="M548" t="s">
        <v>2614</v>
      </c>
    </row>
    <row r="549" spans="1:14">
      <c r="A549" s="1">
        <f>HYPERLINK("https://lsnyc.legalserver.org/matter/dynamic-profile/view/1901873","19-1901873")</f>
        <v>0</v>
      </c>
      <c r="B549" t="s">
        <v>17</v>
      </c>
      <c r="C549" t="s">
        <v>56</v>
      </c>
      <c r="D549" t="s">
        <v>550</v>
      </c>
      <c r="F549" t="s">
        <v>2443</v>
      </c>
      <c r="G549" t="s">
        <v>2444</v>
      </c>
      <c r="K549" t="s">
        <v>2569</v>
      </c>
      <c r="M549" t="s">
        <v>2614</v>
      </c>
    </row>
    <row r="550" spans="1:14">
      <c r="A550" s="1">
        <f>HYPERLINK("https://lsnyc.legalserver.org/matter/dynamic-profile/view/1901528","19-1901528")</f>
        <v>0</v>
      </c>
      <c r="B550" t="s">
        <v>16</v>
      </c>
      <c r="C550" t="s">
        <v>46</v>
      </c>
      <c r="D550" t="s">
        <v>551</v>
      </c>
      <c r="E550" t="s">
        <v>2393</v>
      </c>
      <c r="F550" t="s">
        <v>2437</v>
      </c>
      <c r="I550" t="s">
        <v>2446</v>
      </c>
      <c r="J550" t="s">
        <v>2490</v>
      </c>
      <c r="M550" t="s">
        <v>2637</v>
      </c>
    </row>
    <row r="551" spans="1:14">
      <c r="A551" s="1">
        <f>HYPERLINK("https://lsnyc.legalserver.org/matter/dynamic-profile/view/1901567","19-1901567")</f>
        <v>0</v>
      </c>
      <c r="B551" t="s">
        <v>14</v>
      </c>
      <c r="C551" t="s">
        <v>21</v>
      </c>
      <c r="D551" t="s">
        <v>552</v>
      </c>
      <c r="E551" t="s">
        <v>2376</v>
      </c>
      <c r="F551" t="s">
        <v>2437</v>
      </c>
      <c r="J551" t="s">
        <v>2450</v>
      </c>
      <c r="K551" t="s">
        <v>2569</v>
      </c>
      <c r="L551" t="s">
        <v>2607</v>
      </c>
      <c r="M551" t="s">
        <v>2618</v>
      </c>
      <c r="N551" t="s">
        <v>2649</v>
      </c>
    </row>
    <row r="552" spans="1:14">
      <c r="A552" s="1">
        <f>HYPERLINK("https://lsnyc.legalserver.org/matter/dynamic-profile/view/1901304","19-1901304")</f>
        <v>0</v>
      </c>
      <c r="B552" t="s">
        <v>15</v>
      </c>
      <c r="C552" t="s">
        <v>29</v>
      </c>
      <c r="D552" t="s">
        <v>553</v>
      </c>
      <c r="E552" t="s">
        <v>2413</v>
      </c>
      <c r="G552" t="s">
        <v>2444</v>
      </c>
      <c r="K552" t="s">
        <v>2569</v>
      </c>
      <c r="M552" t="s">
        <v>2629</v>
      </c>
    </row>
    <row r="553" spans="1:14">
      <c r="A553" s="1">
        <f>HYPERLINK("https://lsnyc.legalserver.org/matter/dynamic-profile/view/1901347","19-1901347")</f>
        <v>0</v>
      </c>
      <c r="B553" t="s">
        <v>14</v>
      </c>
      <c r="C553" t="s">
        <v>21</v>
      </c>
      <c r="D553" t="s">
        <v>554</v>
      </c>
      <c r="E553" t="s">
        <v>2385</v>
      </c>
      <c r="F553" t="s">
        <v>2439</v>
      </c>
      <c r="I553" t="s">
        <v>2446</v>
      </c>
      <c r="J553" t="s">
        <v>2488</v>
      </c>
      <c r="K553" t="s">
        <v>2569</v>
      </c>
      <c r="L553" t="s">
        <v>2602</v>
      </c>
      <c r="M553" t="s">
        <v>2631</v>
      </c>
      <c r="N553" t="s">
        <v>2648</v>
      </c>
    </row>
    <row r="554" spans="1:14">
      <c r="A554" s="1">
        <f>HYPERLINK("https://lsnyc.legalserver.org/matter/dynamic-profile/view/1901210","19-1901210")</f>
        <v>0</v>
      </c>
      <c r="B554" t="s">
        <v>18</v>
      </c>
      <c r="C554" t="s">
        <v>27</v>
      </c>
      <c r="D554" t="s">
        <v>555</v>
      </c>
      <c r="E554" t="s">
        <v>2376</v>
      </c>
      <c r="F554" t="s">
        <v>2437</v>
      </c>
      <c r="J554" t="s">
        <v>2488</v>
      </c>
      <c r="K554" t="s">
        <v>2569</v>
      </c>
      <c r="L554" t="s">
        <v>2605</v>
      </c>
      <c r="M554" t="s">
        <v>2618</v>
      </c>
      <c r="N554" t="s">
        <v>2648</v>
      </c>
    </row>
    <row r="555" spans="1:14">
      <c r="A555" s="1">
        <f>HYPERLINK("https://lsnyc.legalserver.org/matter/dynamic-profile/view/1901260","19-1901260")</f>
        <v>0</v>
      </c>
      <c r="B555" t="s">
        <v>19</v>
      </c>
      <c r="C555" t="s">
        <v>50</v>
      </c>
      <c r="D555" t="s">
        <v>556</v>
      </c>
      <c r="E555" t="s">
        <v>2374</v>
      </c>
      <c r="F555" t="s">
        <v>2438</v>
      </c>
      <c r="I555" t="s">
        <v>2446</v>
      </c>
      <c r="J555" t="s">
        <v>2465</v>
      </c>
      <c r="K555" t="s">
        <v>2569</v>
      </c>
      <c r="M555" t="s">
        <v>2616</v>
      </c>
    </row>
    <row r="556" spans="1:14">
      <c r="A556" s="1">
        <f>HYPERLINK("https://lsnyc.legalserver.org/matter/dynamic-profile/view/1901263","19-1901263")</f>
        <v>0</v>
      </c>
      <c r="B556" t="s">
        <v>19</v>
      </c>
      <c r="C556" t="s">
        <v>50</v>
      </c>
      <c r="D556" t="s">
        <v>556</v>
      </c>
      <c r="E556" t="s">
        <v>2412</v>
      </c>
      <c r="F556" t="s">
        <v>2438</v>
      </c>
      <c r="I556" t="s">
        <v>2446</v>
      </c>
      <c r="J556" t="s">
        <v>2465</v>
      </c>
      <c r="K556" t="s">
        <v>2569</v>
      </c>
      <c r="M556" t="s">
        <v>2616</v>
      </c>
    </row>
    <row r="557" spans="1:14">
      <c r="A557" s="1">
        <f>HYPERLINK("https://lsnyc.legalserver.org/matter/dynamic-profile/view/1902415","19-1902415")</f>
        <v>0</v>
      </c>
      <c r="B557" t="s">
        <v>15</v>
      </c>
      <c r="C557" t="s">
        <v>32</v>
      </c>
      <c r="D557" t="s">
        <v>557</v>
      </c>
      <c r="E557" t="s">
        <v>2374</v>
      </c>
      <c r="F557" t="s">
        <v>2438</v>
      </c>
      <c r="J557" t="s">
        <v>2457</v>
      </c>
      <c r="K557" t="s">
        <v>2569</v>
      </c>
      <c r="M557" t="s">
        <v>2616</v>
      </c>
      <c r="N557" t="s">
        <v>2648</v>
      </c>
    </row>
    <row r="558" spans="1:14">
      <c r="A558" s="1">
        <f>HYPERLINK("https://lsnyc.legalserver.org/matter/dynamic-profile/view/1900873","19-1900873")</f>
        <v>0</v>
      </c>
      <c r="B558" t="s">
        <v>17</v>
      </c>
      <c r="C558" t="s">
        <v>25</v>
      </c>
      <c r="D558" t="s">
        <v>558</v>
      </c>
      <c r="E558" t="s">
        <v>2375</v>
      </c>
      <c r="F558" t="s">
        <v>2437</v>
      </c>
      <c r="I558" t="s">
        <v>2446</v>
      </c>
      <c r="J558" t="s">
        <v>2454</v>
      </c>
      <c r="K558" t="s">
        <v>2572</v>
      </c>
      <c r="M558" t="s">
        <v>2617</v>
      </c>
    </row>
    <row r="559" spans="1:14">
      <c r="A559" s="1">
        <f>HYPERLINK("https://lsnyc.legalserver.org/matter/dynamic-profile/view/1901070","19-1901070")</f>
        <v>0</v>
      </c>
      <c r="B559" t="s">
        <v>14</v>
      </c>
      <c r="C559" t="s">
        <v>20</v>
      </c>
      <c r="D559" t="s">
        <v>559</v>
      </c>
      <c r="E559" t="s">
        <v>2403</v>
      </c>
      <c r="F559" t="s">
        <v>2441</v>
      </c>
      <c r="J559" t="s">
        <v>2450</v>
      </c>
      <c r="K559" t="s">
        <v>2569</v>
      </c>
      <c r="M559" t="s">
        <v>2639</v>
      </c>
    </row>
    <row r="560" spans="1:14">
      <c r="A560" s="1">
        <f>HYPERLINK("https://lsnyc.legalserver.org/matter/dynamic-profile/view/1901151","19-1901151")</f>
        <v>0</v>
      </c>
      <c r="B560" t="s">
        <v>14</v>
      </c>
      <c r="C560" t="s">
        <v>26</v>
      </c>
      <c r="D560" t="s">
        <v>128</v>
      </c>
      <c r="E560" t="s">
        <v>2401</v>
      </c>
      <c r="F560" t="s">
        <v>2441</v>
      </c>
      <c r="J560" t="s">
        <v>2462</v>
      </c>
      <c r="K560" t="s">
        <v>2572</v>
      </c>
      <c r="M560" t="s">
        <v>2614</v>
      </c>
    </row>
    <row r="561" spans="1:13">
      <c r="A561" s="1">
        <f>HYPERLINK("https://lsnyc.legalserver.org/matter/dynamic-profile/view/1901170","19-1901170")</f>
        <v>0</v>
      </c>
      <c r="B561" t="s">
        <v>15</v>
      </c>
      <c r="C561" t="s">
        <v>22</v>
      </c>
      <c r="D561" t="s">
        <v>131</v>
      </c>
      <c r="E561" t="s">
        <v>2374</v>
      </c>
      <c r="F561" t="s">
        <v>2437</v>
      </c>
      <c r="J561" t="s">
        <v>2449</v>
      </c>
      <c r="K561" t="s">
        <v>2569</v>
      </c>
      <c r="M561" t="s">
        <v>2616</v>
      </c>
    </row>
    <row r="562" spans="1:13">
      <c r="A562" s="1">
        <f>HYPERLINK("https://lsnyc.legalserver.org/matter/dynamic-profile/view/1900944","19-1900944")</f>
        <v>0</v>
      </c>
      <c r="B562" t="s">
        <v>16</v>
      </c>
      <c r="C562" t="s">
        <v>46</v>
      </c>
      <c r="D562" t="s">
        <v>560</v>
      </c>
      <c r="E562" t="s">
        <v>2393</v>
      </c>
      <c r="F562" t="s">
        <v>2437</v>
      </c>
      <c r="I562" t="s">
        <v>2446</v>
      </c>
      <c r="J562" t="s">
        <v>2448</v>
      </c>
      <c r="K562" t="s">
        <v>2569</v>
      </c>
      <c r="M562" t="s">
        <v>2637</v>
      </c>
    </row>
    <row r="563" spans="1:13">
      <c r="A563" s="1">
        <f>HYPERLINK("https://lsnyc.legalserver.org/matter/dynamic-profile/view/1901053","19-1901053")</f>
        <v>0</v>
      </c>
      <c r="B563" t="s">
        <v>14</v>
      </c>
      <c r="C563" t="s">
        <v>26</v>
      </c>
      <c r="D563" t="s">
        <v>189</v>
      </c>
      <c r="E563" t="s">
        <v>2403</v>
      </c>
      <c r="F563" t="s">
        <v>2441</v>
      </c>
      <c r="I563" t="s">
        <v>2446</v>
      </c>
      <c r="J563" t="s">
        <v>2450</v>
      </c>
      <c r="K563" t="s">
        <v>2569</v>
      </c>
      <c r="M563" t="s">
        <v>2626</v>
      </c>
    </row>
    <row r="564" spans="1:13">
      <c r="A564" s="1">
        <f>HYPERLINK("https://lsnyc.legalserver.org/matter/dynamic-profile/view/1900740","19-1900740")</f>
        <v>0</v>
      </c>
      <c r="B564" t="s">
        <v>19</v>
      </c>
      <c r="C564" t="s">
        <v>24</v>
      </c>
      <c r="D564" t="s">
        <v>561</v>
      </c>
      <c r="F564" t="s">
        <v>2439</v>
      </c>
      <c r="I564" t="s">
        <v>2446</v>
      </c>
      <c r="J564" t="s">
        <v>2448</v>
      </c>
      <c r="K564" t="s">
        <v>2572</v>
      </c>
      <c r="L564" t="s">
        <v>2601</v>
      </c>
      <c r="M564" t="s">
        <v>2631</v>
      </c>
    </row>
    <row r="565" spans="1:13">
      <c r="A565" s="1">
        <f>HYPERLINK("https://lsnyc.legalserver.org/matter/dynamic-profile/view/1900720","19-1900720")</f>
        <v>0</v>
      </c>
      <c r="B565" t="s">
        <v>15</v>
      </c>
      <c r="C565" t="s">
        <v>32</v>
      </c>
      <c r="D565" t="s">
        <v>562</v>
      </c>
      <c r="E565" t="s">
        <v>2376</v>
      </c>
      <c r="F565" t="s">
        <v>2437</v>
      </c>
      <c r="H565" t="s">
        <v>2445</v>
      </c>
      <c r="J565" t="s">
        <v>2488</v>
      </c>
      <c r="K565" t="s">
        <v>2569</v>
      </c>
      <c r="M565" t="s">
        <v>2618</v>
      </c>
    </row>
    <row r="566" spans="1:13">
      <c r="A566" s="1">
        <f>HYPERLINK("https://lsnyc.legalserver.org/matter/dynamic-profile/view/1900743","19-1900743")</f>
        <v>0</v>
      </c>
      <c r="B566" t="s">
        <v>15</v>
      </c>
      <c r="C566" t="s">
        <v>39</v>
      </c>
      <c r="D566" t="s">
        <v>432</v>
      </c>
      <c r="E566" t="s">
        <v>2385</v>
      </c>
      <c r="F566" t="s">
        <v>2438</v>
      </c>
      <c r="J566" t="s">
        <v>2465</v>
      </c>
      <c r="K566" t="s">
        <v>2569</v>
      </c>
      <c r="M566" t="s">
        <v>2616</v>
      </c>
    </row>
    <row r="567" spans="1:13">
      <c r="A567" s="1">
        <f>HYPERLINK("https://lsnyc.legalserver.org/matter/dynamic-profile/view/1900766","19-1900766")</f>
        <v>0</v>
      </c>
      <c r="B567" t="s">
        <v>15</v>
      </c>
      <c r="C567" t="s">
        <v>39</v>
      </c>
      <c r="D567" t="s">
        <v>563</v>
      </c>
      <c r="E567" t="s">
        <v>2374</v>
      </c>
      <c r="F567" t="s">
        <v>2438</v>
      </c>
      <c r="J567" t="s">
        <v>2449</v>
      </c>
      <c r="K567" t="s">
        <v>2569</v>
      </c>
      <c r="M567" t="s">
        <v>2616</v>
      </c>
    </row>
    <row r="568" spans="1:13">
      <c r="A568" s="1">
        <f>HYPERLINK("https://lsnyc.legalserver.org/matter/dynamic-profile/view/1900767","19-1900767")</f>
        <v>0</v>
      </c>
      <c r="B568" t="s">
        <v>15</v>
      </c>
      <c r="C568" t="s">
        <v>39</v>
      </c>
      <c r="D568" t="s">
        <v>564</v>
      </c>
      <c r="E568" t="s">
        <v>2374</v>
      </c>
      <c r="F568" t="s">
        <v>2438</v>
      </c>
      <c r="I568" t="s">
        <v>2446</v>
      </c>
      <c r="J568" t="s">
        <v>2449</v>
      </c>
      <c r="K568" t="s">
        <v>2569</v>
      </c>
      <c r="M568" t="s">
        <v>2616</v>
      </c>
    </row>
    <row r="569" spans="1:13">
      <c r="A569" s="1">
        <f>HYPERLINK("https://lsnyc.legalserver.org/matter/dynamic-profile/view/1900768","19-1900768")</f>
        <v>0</v>
      </c>
      <c r="B569" t="s">
        <v>15</v>
      </c>
      <c r="C569" t="s">
        <v>22</v>
      </c>
      <c r="D569" t="s">
        <v>565</v>
      </c>
      <c r="E569" t="s">
        <v>2391</v>
      </c>
      <c r="F569" t="s">
        <v>2437</v>
      </c>
      <c r="J569" t="s">
        <v>2465</v>
      </c>
      <c r="K569" t="s">
        <v>2569</v>
      </c>
      <c r="M569" t="s">
        <v>2615</v>
      </c>
    </row>
    <row r="570" spans="1:13">
      <c r="A570" s="1">
        <f>HYPERLINK("https://lsnyc.legalserver.org/matter/dynamic-profile/view/1900769","19-1900769")</f>
        <v>0</v>
      </c>
      <c r="B570" t="s">
        <v>15</v>
      </c>
      <c r="C570" t="s">
        <v>22</v>
      </c>
      <c r="D570" t="s">
        <v>565</v>
      </c>
      <c r="E570" t="s">
        <v>2377</v>
      </c>
      <c r="F570" t="s">
        <v>2441</v>
      </c>
      <c r="J570" t="s">
        <v>2465</v>
      </c>
      <c r="K570" t="s">
        <v>2569</v>
      </c>
      <c r="M570" t="s">
        <v>2614</v>
      </c>
    </row>
    <row r="571" spans="1:13">
      <c r="A571" s="1">
        <f>HYPERLINK("https://lsnyc.legalserver.org/matter/dynamic-profile/view/1900770","19-1900770")</f>
        <v>0</v>
      </c>
      <c r="B571" t="s">
        <v>15</v>
      </c>
      <c r="C571" t="s">
        <v>22</v>
      </c>
      <c r="D571" t="s">
        <v>415</v>
      </c>
      <c r="E571" t="s">
        <v>2391</v>
      </c>
      <c r="F571" t="s">
        <v>2437</v>
      </c>
      <c r="J571" t="s">
        <v>2450</v>
      </c>
      <c r="K571" t="s">
        <v>2569</v>
      </c>
      <c r="M571" t="s">
        <v>2615</v>
      </c>
    </row>
    <row r="572" spans="1:13">
      <c r="A572" s="1">
        <f>HYPERLINK("https://lsnyc.legalserver.org/matter/dynamic-profile/view/1900535","19-1900535")</f>
        <v>0</v>
      </c>
      <c r="B572" t="s">
        <v>16</v>
      </c>
      <c r="C572" t="s">
        <v>23</v>
      </c>
      <c r="D572" t="s">
        <v>566</v>
      </c>
      <c r="E572" t="s">
        <v>2413</v>
      </c>
      <c r="F572" t="s">
        <v>2437</v>
      </c>
      <c r="I572" t="s">
        <v>2446</v>
      </c>
      <c r="J572" t="s">
        <v>2457</v>
      </c>
      <c r="M572" t="s">
        <v>2629</v>
      </c>
    </row>
    <row r="573" spans="1:13">
      <c r="A573" s="1">
        <f>HYPERLINK("https://lsnyc.legalserver.org/matter/dynamic-profile/view/1900539","19-1900539")</f>
        <v>0</v>
      </c>
      <c r="B573" t="s">
        <v>16</v>
      </c>
      <c r="C573" t="s">
        <v>23</v>
      </c>
      <c r="D573" t="s">
        <v>567</v>
      </c>
      <c r="E573" t="s">
        <v>2413</v>
      </c>
      <c r="F573" t="s">
        <v>2437</v>
      </c>
      <c r="I573" t="s">
        <v>2446</v>
      </c>
      <c r="J573" t="s">
        <v>2457</v>
      </c>
      <c r="M573" t="s">
        <v>2629</v>
      </c>
    </row>
    <row r="574" spans="1:13">
      <c r="A574" s="1">
        <f>HYPERLINK("https://lsnyc.legalserver.org/matter/dynamic-profile/view/1900544","19-1900544")</f>
        <v>0</v>
      </c>
      <c r="B574" t="s">
        <v>16</v>
      </c>
      <c r="C574" t="s">
        <v>23</v>
      </c>
      <c r="D574" t="s">
        <v>566</v>
      </c>
      <c r="E574" t="s">
        <v>2380</v>
      </c>
      <c r="F574" t="s">
        <v>2437</v>
      </c>
      <c r="I574" t="s">
        <v>2446</v>
      </c>
      <c r="J574" t="s">
        <v>2457</v>
      </c>
      <c r="M574" t="s">
        <v>2621</v>
      </c>
    </row>
    <row r="575" spans="1:13">
      <c r="A575" s="1">
        <f>HYPERLINK("https://lsnyc.legalserver.org/matter/dynamic-profile/view/1900555","19-1900555")</f>
        <v>0</v>
      </c>
      <c r="B575" t="s">
        <v>16</v>
      </c>
      <c r="C575" t="s">
        <v>23</v>
      </c>
      <c r="D575" t="s">
        <v>567</v>
      </c>
      <c r="E575" t="s">
        <v>2380</v>
      </c>
      <c r="F575" t="s">
        <v>2437</v>
      </c>
      <c r="I575" t="s">
        <v>2446</v>
      </c>
      <c r="J575" t="s">
        <v>2457</v>
      </c>
      <c r="M575" t="s">
        <v>2621</v>
      </c>
    </row>
    <row r="576" spans="1:13">
      <c r="A576" s="1">
        <f>HYPERLINK("https://lsnyc.legalserver.org/matter/dynamic-profile/view/1900561","19-1900561")</f>
        <v>0</v>
      </c>
      <c r="B576" t="s">
        <v>16</v>
      </c>
      <c r="C576" t="s">
        <v>23</v>
      </c>
      <c r="D576" t="s">
        <v>568</v>
      </c>
      <c r="E576" t="s">
        <v>2393</v>
      </c>
      <c r="F576" t="s">
        <v>2437</v>
      </c>
      <c r="I576" t="s">
        <v>2446</v>
      </c>
      <c r="J576" t="s">
        <v>2457</v>
      </c>
      <c r="K576" t="s">
        <v>2569</v>
      </c>
      <c r="M576" t="s">
        <v>2637</v>
      </c>
    </row>
    <row r="577" spans="1:13">
      <c r="A577" s="1">
        <f>HYPERLINK("https://lsnyc.legalserver.org/matter/dynamic-profile/view/1900575","19-1900575")</f>
        <v>0</v>
      </c>
      <c r="B577" t="s">
        <v>16</v>
      </c>
      <c r="C577" t="s">
        <v>23</v>
      </c>
      <c r="D577" t="s">
        <v>568</v>
      </c>
      <c r="E577" t="s">
        <v>2406</v>
      </c>
      <c r="F577" t="s">
        <v>2437</v>
      </c>
      <c r="I577" t="s">
        <v>2446</v>
      </c>
      <c r="J577" t="s">
        <v>2457</v>
      </c>
      <c r="K577" t="s">
        <v>2569</v>
      </c>
      <c r="M577" t="s">
        <v>2642</v>
      </c>
    </row>
    <row r="578" spans="1:13">
      <c r="A578" s="1">
        <f>HYPERLINK("https://lsnyc.legalserver.org/matter/dynamic-profile/view/1900584","19-1900584")</f>
        <v>0</v>
      </c>
      <c r="B578" t="s">
        <v>16</v>
      </c>
      <c r="C578" t="s">
        <v>23</v>
      </c>
      <c r="D578" t="s">
        <v>568</v>
      </c>
      <c r="E578" t="s">
        <v>2376</v>
      </c>
      <c r="F578" t="s">
        <v>2437</v>
      </c>
      <c r="J578" t="s">
        <v>2457</v>
      </c>
      <c r="K578" t="s">
        <v>2569</v>
      </c>
      <c r="M578" t="s">
        <v>2618</v>
      </c>
    </row>
    <row r="579" spans="1:13">
      <c r="A579" s="1">
        <f>HYPERLINK("https://lsnyc.legalserver.org/matter/dynamic-profile/view/1900238","19-1900238")</f>
        <v>0</v>
      </c>
      <c r="B579" t="s">
        <v>17</v>
      </c>
      <c r="C579" t="s">
        <v>25</v>
      </c>
      <c r="D579" t="s">
        <v>569</v>
      </c>
      <c r="E579" t="s">
        <v>2385</v>
      </c>
      <c r="F579" t="s">
        <v>2438</v>
      </c>
      <c r="I579" t="s">
        <v>2446</v>
      </c>
      <c r="J579" t="s">
        <v>2465</v>
      </c>
      <c r="K579" t="s">
        <v>2569</v>
      </c>
      <c r="M579" t="s">
        <v>2616</v>
      </c>
    </row>
    <row r="580" spans="1:13">
      <c r="A580" s="1">
        <f>HYPERLINK("https://lsnyc.legalserver.org/matter/dynamic-profile/view/1900476","19-1900476")</f>
        <v>0</v>
      </c>
      <c r="B580" t="s">
        <v>18</v>
      </c>
      <c r="C580" t="s">
        <v>35</v>
      </c>
      <c r="D580" t="s">
        <v>570</v>
      </c>
      <c r="E580" t="s">
        <v>2381</v>
      </c>
      <c r="F580" t="s">
        <v>2437</v>
      </c>
      <c r="I580" t="s">
        <v>2446</v>
      </c>
      <c r="J580" t="s">
        <v>2510</v>
      </c>
      <c r="K580" t="s">
        <v>2572</v>
      </c>
      <c r="M580" t="s">
        <v>2626</v>
      </c>
    </row>
    <row r="581" spans="1:13">
      <c r="A581" s="1">
        <f>HYPERLINK("https://lsnyc.legalserver.org/matter/dynamic-profile/view/1900508","19-1900508")</f>
        <v>0</v>
      </c>
      <c r="B581" t="s">
        <v>15</v>
      </c>
      <c r="C581" t="s">
        <v>22</v>
      </c>
      <c r="D581" t="s">
        <v>313</v>
      </c>
      <c r="E581" t="s">
        <v>2374</v>
      </c>
      <c r="F581" t="s">
        <v>2438</v>
      </c>
      <c r="J581" t="s">
        <v>2450</v>
      </c>
      <c r="K581" t="s">
        <v>2569</v>
      </c>
      <c r="M581" t="s">
        <v>2616</v>
      </c>
    </row>
    <row r="582" spans="1:13">
      <c r="A582" s="1">
        <f>HYPERLINK("https://lsnyc.legalserver.org/matter/dynamic-profile/view/1900510","19-1900510")</f>
        <v>0</v>
      </c>
      <c r="B582" t="s">
        <v>15</v>
      </c>
      <c r="C582" t="s">
        <v>22</v>
      </c>
      <c r="D582" t="s">
        <v>571</v>
      </c>
      <c r="E582" t="s">
        <v>2385</v>
      </c>
      <c r="F582" t="s">
        <v>2437</v>
      </c>
      <c r="J582" t="s">
        <v>2450</v>
      </c>
      <c r="K582" t="s">
        <v>2569</v>
      </c>
      <c r="M582" t="s">
        <v>2616</v>
      </c>
    </row>
    <row r="583" spans="1:13">
      <c r="A583" s="1">
        <f>HYPERLINK("https://lsnyc.legalserver.org/matter/dynamic-profile/view/1900284","19-1900284")</f>
        <v>0</v>
      </c>
      <c r="B583" t="s">
        <v>18</v>
      </c>
      <c r="C583" t="s">
        <v>27</v>
      </c>
      <c r="D583" t="s">
        <v>435</v>
      </c>
      <c r="E583" t="s">
        <v>2374</v>
      </c>
      <c r="F583" t="s">
        <v>2438</v>
      </c>
      <c r="J583" t="s">
        <v>2503</v>
      </c>
      <c r="K583" t="s">
        <v>2572</v>
      </c>
      <c r="M583" t="s">
        <v>2626</v>
      </c>
    </row>
    <row r="584" spans="1:13">
      <c r="A584" s="1">
        <f>HYPERLINK("https://lsnyc.legalserver.org/matter/dynamic-profile/view/1900292","19-1900292")</f>
        <v>0</v>
      </c>
      <c r="B584" t="s">
        <v>18</v>
      </c>
      <c r="C584" t="s">
        <v>27</v>
      </c>
      <c r="D584" t="s">
        <v>572</v>
      </c>
      <c r="E584" t="s">
        <v>2385</v>
      </c>
      <c r="F584" t="s">
        <v>2438</v>
      </c>
      <c r="J584" t="s">
        <v>2450</v>
      </c>
      <c r="K584" t="s">
        <v>2569</v>
      </c>
      <c r="L584" t="s">
        <v>2600</v>
      </c>
      <c r="M584" t="s">
        <v>2616</v>
      </c>
    </row>
    <row r="585" spans="1:13">
      <c r="A585" s="1">
        <f>HYPERLINK("https://lsnyc.legalserver.org/matter/dynamic-profile/view/1900357","19-1900357")</f>
        <v>0</v>
      </c>
      <c r="B585" t="s">
        <v>15</v>
      </c>
      <c r="C585" t="s">
        <v>29</v>
      </c>
      <c r="D585" t="s">
        <v>573</v>
      </c>
      <c r="E585" t="s">
        <v>2376</v>
      </c>
      <c r="G585" t="s">
        <v>2444</v>
      </c>
      <c r="J585" t="s">
        <v>2457</v>
      </c>
      <c r="K585" t="s">
        <v>2572</v>
      </c>
      <c r="M585" t="s">
        <v>2618</v>
      </c>
    </row>
    <row r="586" spans="1:13">
      <c r="A586" s="1">
        <f>HYPERLINK("https://lsnyc.legalserver.org/matter/dynamic-profile/view/1900214","19-1900214")</f>
        <v>0</v>
      </c>
      <c r="B586" t="s">
        <v>15</v>
      </c>
      <c r="C586" t="s">
        <v>30</v>
      </c>
      <c r="D586" t="s">
        <v>574</v>
      </c>
      <c r="E586" t="s">
        <v>2385</v>
      </c>
      <c r="F586" t="s">
        <v>2438</v>
      </c>
      <c r="J586" t="s">
        <v>2457</v>
      </c>
      <c r="K586" t="s">
        <v>2569</v>
      </c>
      <c r="M586" t="s">
        <v>2616</v>
      </c>
    </row>
    <row r="587" spans="1:13">
      <c r="A587" s="1">
        <f>HYPERLINK("https://lsnyc.legalserver.org/matter/dynamic-profile/view/1900227","19-1900227")</f>
        <v>0</v>
      </c>
      <c r="B587" t="s">
        <v>18</v>
      </c>
      <c r="C587" t="s">
        <v>35</v>
      </c>
      <c r="D587" t="s">
        <v>575</v>
      </c>
      <c r="E587" t="s">
        <v>2374</v>
      </c>
      <c r="F587" t="s">
        <v>2436</v>
      </c>
      <c r="J587" t="s">
        <v>2450</v>
      </c>
      <c r="K587" t="s">
        <v>2569</v>
      </c>
      <c r="M587" t="s">
        <v>2436</v>
      </c>
    </row>
    <row r="588" spans="1:13">
      <c r="A588" s="1">
        <f>HYPERLINK("https://lsnyc.legalserver.org/matter/dynamic-profile/view/1900228","19-1900228")</f>
        <v>0</v>
      </c>
      <c r="B588" t="s">
        <v>18</v>
      </c>
      <c r="C588" t="s">
        <v>35</v>
      </c>
      <c r="D588" t="s">
        <v>576</v>
      </c>
      <c r="E588" t="s">
        <v>2374</v>
      </c>
      <c r="F588" t="s">
        <v>2436</v>
      </c>
      <c r="J588" t="s">
        <v>2450</v>
      </c>
      <c r="K588" t="s">
        <v>2569</v>
      </c>
      <c r="M588" t="s">
        <v>2436</v>
      </c>
    </row>
    <row r="589" spans="1:13">
      <c r="A589" s="1">
        <f>HYPERLINK("https://lsnyc.legalserver.org/matter/dynamic-profile/view/1900229","19-1900229")</f>
        <v>0</v>
      </c>
      <c r="B589" t="s">
        <v>18</v>
      </c>
      <c r="C589" t="s">
        <v>35</v>
      </c>
      <c r="D589" t="s">
        <v>577</v>
      </c>
      <c r="E589" t="s">
        <v>2374</v>
      </c>
      <c r="F589" t="s">
        <v>2436</v>
      </c>
      <c r="J589" t="s">
        <v>2450</v>
      </c>
      <c r="K589" t="s">
        <v>2569</v>
      </c>
      <c r="M589" t="s">
        <v>2436</v>
      </c>
    </row>
    <row r="590" spans="1:13">
      <c r="A590" s="1">
        <f>HYPERLINK("https://lsnyc.legalserver.org/matter/dynamic-profile/view/1900237","19-1900237")</f>
        <v>0</v>
      </c>
      <c r="B590" t="s">
        <v>18</v>
      </c>
      <c r="C590" t="s">
        <v>53</v>
      </c>
      <c r="D590" t="s">
        <v>578</v>
      </c>
      <c r="E590" t="s">
        <v>2385</v>
      </c>
      <c r="F590" t="s">
        <v>2438</v>
      </c>
      <c r="J590" t="s">
        <v>2450</v>
      </c>
      <c r="K590" t="s">
        <v>2569</v>
      </c>
      <c r="L590" t="s">
        <v>2600</v>
      </c>
      <c r="M590" t="s">
        <v>2616</v>
      </c>
    </row>
    <row r="591" spans="1:13">
      <c r="A591" s="1">
        <f>HYPERLINK("https://lsnyc.legalserver.org/matter/dynamic-profile/view/1900240","19-1900240")</f>
        <v>0</v>
      </c>
      <c r="B591" t="s">
        <v>18</v>
      </c>
      <c r="C591" t="s">
        <v>53</v>
      </c>
      <c r="D591" t="s">
        <v>579</v>
      </c>
      <c r="E591" t="s">
        <v>2385</v>
      </c>
      <c r="F591" t="s">
        <v>2438</v>
      </c>
      <c r="J591" t="s">
        <v>2450</v>
      </c>
      <c r="K591" t="s">
        <v>2569</v>
      </c>
      <c r="L591" t="s">
        <v>2600</v>
      </c>
      <c r="M591" t="s">
        <v>2616</v>
      </c>
    </row>
    <row r="592" spans="1:13">
      <c r="A592" s="1">
        <f>HYPERLINK("https://lsnyc.legalserver.org/matter/dynamic-profile/view/1900274","19-1900274")</f>
        <v>0</v>
      </c>
      <c r="B592" t="s">
        <v>18</v>
      </c>
      <c r="C592" t="s">
        <v>27</v>
      </c>
      <c r="D592" t="s">
        <v>580</v>
      </c>
      <c r="E592" t="s">
        <v>2385</v>
      </c>
      <c r="F592" t="s">
        <v>2438</v>
      </c>
      <c r="J592" t="s">
        <v>2450</v>
      </c>
      <c r="K592" t="s">
        <v>2569</v>
      </c>
      <c r="M592" t="s">
        <v>2616</v>
      </c>
    </row>
    <row r="593" spans="1:14">
      <c r="A593" s="1">
        <f>HYPERLINK("https://lsnyc.legalserver.org/matter/dynamic-profile/view/1900275","19-1900275")</f>
        <v>0</v>
      </c>
      <c r="B593" t="s">
        <v>18</v>
      </c>
      <c r="C593" t="s">
        <v>27</v>
      </c>
      <c r="D593" t="s">
        <v>580</v>
      </c>
      <c r="E593" t="s">
        <v>2374</v>
      </c>
      <c r="F593" t="s">
        <v>2438</v>
      </c>
      <c r="J593" t="s">
        <v>2450</v>
      </c>
      <c r="K593" t="s">
        <v>2569</v>
      </c>
      <c r="M593" t="s">
        <v>2616</v>
      </c>
    </row>
    <row r="594" spans="1:14">
      <c r="A594" s="1">
        <f>HYPERLINK("https://lsnyc.legalserver.org/matter/dynamic-profile/view/1900145","19-1900145")</f>
        <v>0</v>
      </c>
      <c r="B594" t="s">
        <v>19</v>
      </c>
      <c r="C594" t="s">
        <v>50</v>
      </c>
      <c r="D594" t="s">
        <v>581</v>
      </c>
      <c r="E594" t="s">
        <v>2374</v>
      </c>
      <c r="F594" t="s">
        <v>2438</v>
      </c>
      <c r="J594" t="s">
        <v>2471</v>
      </c>
      <c r="K594" t="s">
        <v>2571</v>
      </c>
      <c r="L594" t="s">
        <v>2603</v>
      </c>
      <c r="M594" t="s">
        <v>2616</v>
      </c>
      <c r="N594" t="s">
        <v>2648</v>
      </c>
    </row>
    <row r="595" spans="1:14">
      <c r="A595" s="1">
        <f>HYPERLINK("https://lsnyc.legalserver.org/matter/dynamic-profile/view/1899925","19-1899925")</f>
        <v>0</v>
      </c>
      <c r="B595" t="s">
        <v>14</v>
      </c>
      <c r="C595" t="s">
        <v>20</v>
      </c>
      <c r="D595" t="s">
        <v>582</v>
      </c>
      <c r="E595" t="s">
        <v>2376</v>
      </c>
      <c r="F595" t="s">
        <v>2437</v>
      </c>
      <c r="I595" t="s">
        <v>2446</v>
      </c>
      <c r="J595" t="s">
        <v>2487</v>
      </c>
      <c r="K595" t="s">
        <v>2572</v>
      </c>
      <c r="L595" t="s">
        <v>2604</v>
      </c>
      <c r="M595" t="s">
        <v>2618</v>
      </c>
    </row>
    <row r="596" spans="1:14">
      <c r="A596" s="1">
        <f>HYPERLINK("https://lsnyc.legalserver.org/matter/dynamic-profile/view/1900108","19-1900108")</f>
        <v>0</v>
      </c>
      <c r="B596" t="s">
        <v>16</v>
      </c>
      <c r="C596" t="s">
        <v>46</v>
      </c>
      <c r="D596" t="s">
        <v>583</v>
      </c>
      <c r="E596" t="s">
        <v>2375</v>
      </c>
      <c r="F596" t="s">
        <v>2437</v>
      </c>
      <c r="I596" t="s">
        <v>2446</v>
      </c>
      <c r="J596" t="s">
        <v>2453</v>
      </c>
      <c r="K596" t="s">
        <v>2588</v>
      </c>
      <c r="L596" t="s">
        <v>2600</v>
      </c>
      <c r="M596" t="s">
        <v>2617</v>
      </c>
    </row>
    <row r="597" spans="1:14">
      <c r="A597" s="1">
        <f>HYPERLINK("https://lsnyc.legalserver.org/matter/dynamic-profile/view/1900771","19-1900771")</f>
        <v>0</v>
      </c>
      <c r="B597" t="s">
        <v>15</v>
      </c>
      <c r="C597" t="s">
        <v>22</v>
      </c>
      <c r="D597" t="s">
        <v>84</v>
      </c>
      <c r="E597" t="s">
        <v>2415</v>
      </c>
      <c r="F597" t="s">
        <v>2437</v>
      </c>
      <c r="J597" t="s">
        <v>2466</v>
      </c>
      <c r="K597" t="s">
        <v>2570</v>
      </c>
      <c r="L597" t="s">
        <v>2600</v>
      </c>
      <c r="M597" t="s">
        <v>2630</v>
      </c>
    </row>
    <row r="598" spans="1:14">
      <c r="A598" s="1">
        <f>HYPERLINK("https://lsnyc.legalserver.org/matter/dynamic-profile/view/1899940","19-1899940")</f>
        <v>0</v>
      </c>
      <c r="B598" t="s">
        <v>16</v>
      </c>
      <c r="C598" t="s">
        <v>23</v>
      </c>
      <c r="D598" t="s">
        <v>472</v>
      </c>
      <c r="E598" t="s">
        <v>2391</v>
      </c>
      <c r="F598" t="s">
        <v>2437</v>
      </c>
      <c r="I598" t="s">
        <v>2446</v>
      </c>
      <c r="J598" t="s">
        <v>2449</v>
      </c>
      <c r="M598" t="s">
        <v>2615</v>
      </c>
    </row>
    <row r="599" spans="1:14">
      <c r="A599" s="1">
        <f>HYPERLINK("https://lsnyc.legalserver.org/matter/dynamic-profile/view/1899945","19-1899945")</f>
        <v>0</v>
      </c>
      <c r="B599" t="s">
        <v>16</v>
      </c>
      <c r="C599" t="s">
        <v>23</v>
      </c>
      <c r="D599" t="s">
        <v>473</v>
      </c>
      <c r="E599" t="s">
        <v>2391</v>
      </c>
      <c r="F599" t="s">
        <v>2437</v>
      </c>
      <c r="I599" t="s">
        <v>2446</v>
      </c>
      <c r="J599" t="s">
        <v>2449</v>
      </c>
      <c r="M599" t="s">
        <v>2615</v>
      </c>
    </row>
    <row r="600" spans="1:14">
      <c r="A600" s="1">
        <f>HYPERLINK("https://lsnyc.legalserver.org/matter/dynamic-profile/view/1900024","19-1900024")</f>
        <v>0</v>
      </c>
      <c r="B600" t="s">
        <v>15</v>
      </c>
      <c r="C600" t="s">
        <v>30</v>
      </c>
      <c r="D600" t="s">
        <v>329</v>
      </c>
      <c r="E600" t="s">
        <v>2375</v>
      </c>
      <c r="F600" t="s">
        <v>2437</v>
      </c>
      <c r="J600" t="s">
        <v>2488</v>
      </c>
      <c r="K600" t="s">
        <v>2569</v>
      </c>
      <c r="M600" t="s">
        <v>2617</v>
      </c>
    </row>
    <row r="601" spans="1:14">
      <c r="A601" s="1">
        <f>HYPERLINK("https://lsnyc.legalserver.org/matter/dynamic-profile/view/1899888","19-1899888")</f>
        <v>0</v>
      </c>
      <c r="B601" t="s">
        <v>14</v>
      </c>
      <c r="C601" t="s">
        <v>20</v>
      </c>
      <c r="D601" t="s">
        <v>584</v>
      </c>
      <c r="E601" t="s">
        <v>2374</v>
      </c>
      <c r="F601" t="s">
        <v>2438</v>
      </c>
      <c r="J601" t="s">
        <v>2450</v>
      </c>
      <c r="K601" t="s">
        <v>2569</v>
      </c>
      <c r="M601" t="s">
        <v>2616</v>
      </c>
    </row>
    <row r="602" spans="1:14">
      <c r="A602" s="1">
        <f>HYPERLINK("https://lsnyc.legalserver.org/matter/dynamic-profile/view/1907311","19-1907311")</f>
        <v>0</v>
      </c>
      <c r="B602" t="s">
        <v>15</v>
      </c>
      <c r="C602" t="s">
        <v>30</v>
      </c>
      <c r="D602" t="s">
        <v>585</v>
      </c>
      <c r="E602" t="s">
        <v>2383</v>
      </c>
      <c r="F602" t="s">
        <v>2437</v>
      </c>
      <c r="J602" t="s">
        <v>2467</v>
      </c>
      <c r="K602" t="s">
        <v>2572</v>
      </c>
      <c r="L602" t="s">
        <v>2600</v>
      </c>
      <c r="M602" t="s">
        <v>2624</v>
      </c>
    </row>
    <row r="603" spans="1:14">
      <c r="A603" s="1">
        <f>HYPERLINK("https://lsnyc.legalserver.org/matter/dynamic-profile/view/1899789","19-1899789")</f>
        <v>0</v>
      </c>
      <c r="B603" t="s">
        <v>15</v>
      </c>
      <c r="C603" t="s">
        <v>22</v>
      </c>
      <c r="D603" t="s">
        <v>415</v>
      </c>
      <c r="E603" t="s">
        <v>2376</v>
      </c>
      <c r="F603" t="s">
        <v>2437</v>
      </c>
      <c r="I603" t="s">
        <v>2446</v>
      </c>
      <c r="J603" t="s">
        <v>2450</v>
      </c>
      <c r="K603" t="s">
        <v>2569</v>
      </c>
      <c r="L603" t="s">
        <v>2601</v>
      </c>
      <c r="M603" t="s">
        <v>2631</v>
      </c>
    </row>
    <row r="604" spans="1:14">
      <c r="A604" s="1">
        <f>HYPERLINK("https://lsnyc.legalserver.org/matter/dynamic-profile/view/1899560","19-1899560")</f>
        <v>0</v>
      </c>
      <c r="B604" t="s">
        <v>15</v>
      </c>
      <c r="C604" t="s">
        <v>32</v>
      </c>
      <c r="D604" t="s">
        <v>586</v>
      </c>
      <c r="E604" t="s">
        <v>2373</v>
      </c>
      <c r="F604" t="s">
        <v>2441</v>
      </c>
      <c r="J604" t="s">
        <v>2450</v>
      </c>
      <c r="K604" t="s">
        <v>2569</v>
      </c>
      <c r="M604" t="s">
        <v>2615</v>
      </c>
      <c r="N604" t="s">
        <v>2649</v>
      </c>
    </row>
    <row r="605" spans="1:14">
      <c r="A605" s="1">
        <f>HYPERLINK("https://lsnyc.legalserver.org/matter/dynamic-profile/view/1899569","19-1899569")</f>
        <v>0</v>
      </c>
      <c r="B605" t="s">
        <v>19</v>
      </c>
      <c r="C605" t="s">
        <v>47</v>
      </c>
      <c r="D605" t="s">
        <v>587</v>
      </c>
      <c r="E605" t="s">
        <v>2374</v>
      </c>
      <c r="F605" t="s">
        <v>2438</v>
      </c>
      <c r="J605" t="s">
        <v>2449</v>
      </c>
      <c r="K605" t="s">
        <v>2572</v>
      </c>
      <c r="M605" t="s">
        <v>2616</v>
      </c>
      <c r="N605" t="s">
        <v>2649</v>
      </c>
    </row>
    <row r="606" spans="1:14">
      <c r="A606" s="1">
        <f>HYPERLINK("https://lsnyc.legalserver.org/matter/dynamic-profile/view/1899577","19-1899577")</f>
        <v>0</v>
      </c>
      <c r="B606" t="s">
        <v>19</v>
      </c>
      <c r="C606" t="s">
        <v>47</v>
      </c>
      <c r="D606" t="s">
        <v>588</v>
      </c>
      <c r="E606" t="s">
        <v>2374</v>
      </c>
      <c r="F606" t="s">
        <v>2438</v>
      </c>
      <c r="J606" t="s">
        <v>2449</v>
      </c>
      <c r="K606" t="s">
        <v>2569</v>
      </c>
      <c r="M606" t="s">
        <v>2616</v>
      </c>
    </row>
    <row r="607" spans="1:14">
      <c r="A607" s="1">
        <f>HYPERLINK("https://lsnyc.legalserver.org/matter/dynamic-profile/view/1899591","19-1899591")</f>
        <v>0</v>
      </c>
      <c r="B607" t="s">
        <v>15</v>
      </c>
      <c r="C607" t="s">
        <v>49</v>
      </c>
      <c r="D607" t="s">
        <v>589</v>
      </c>
      <c r="E607" t="s">
        <v>2390</v>
      </c>
      <c r="F607" t="s">
        <v>2437</v>
      </c>
      <c r="I607" t="s">
        <v>2446</v>
      </c>
      <c r="J607" t="s">
        <v>2476</v>
      </c>
      <c r="K607" t="s">
        <v>2572</v>
      </c>
      <c r="M607" t="s">
        <v>2619</v>
      </c>
    </row>
    <row r="608" spans="1:14">
      <c r="A608" s="1">
        <f>HYPERLINK("https://lsnyc.legalserver.org/matter/dynamic-profile/view/1899602","19-1899602")</f>
        <v>0</v>
      </c>
      <c r="B608" t="s">
        <v>15</v>
      </c>
      <c r="C608" t="s">
        <v>49</v>
      </c>
      <c r="D608" t="s">
        <v>590</v>
      </c>
      <c r="E608" t="s">
        <v>2381</v>
      </c>
      <c r="F608" t="s">
        <v>2437</v>
      </c>
      <c r="J608" t="s">
        <v>2453</v>
      </c>
      <c r="K608" t="s">
        <v>2572</v>
      </c>
      <c r="M608" t="s">
        <v>2626</v>
      </c>
    </row>
    <row r="609" spans="1:13">
      <c r="A609" s="1">
        <f>HYPERLINK("https://lsnyc.legalserver.org/matter/dynamic-profile/view/1899625","19-1899625")</f>
        <v>0</v>
      </c>
      <c r="B609" t="s">
        <v>15</v>
      </c>
      <c r="C609" t="s">
        <v>32</v>
      </c>
      <c r="D609" t="s">
        <v>591</v>
      </c>
      <c r="E609" t="s">
        <v>2374</v>
      </c>
      <c r="F609" t="s">
        <v>2438</v>
      </c>
      <c r="J609" t="s">
        <v>2450</v>
      </c>
      <c r="K609" t="s">
        <v>2569</v>
      </c>
      <c r="M609" t="s">
        <v>2616</v>
      </c>
    </row>
    <row r="610" spans="1:13">
      <c r="A610" s="1">
        <f>HYPERLINK("https://lsnyc.legalserver.org/matter/dynamic-profile/view/1899640","19-1899640")</f>
        <v>0</v>
      </c>
      <c r="B610" t="s">
        <v>15</v>
      </c>
      <c r="C610" t="s">
        <v>22</v>
      </c>
      <c r="D610" t="s">
        <v>592</v>
      </c>
      <c r="E610" t="s">
        <v>2387</v>
      </c>
      <c r="F610" t="s">
        <v>2437</v>
      </c>
      <c r="J610" t="s">
        <v>2466</v>
      </c>
      <c r="K610" t="s">
        <v>2572</v>
      </c>
      <c r="M610" t="s">
        <v>2629</v>
      </c>
    </row>
    <row r="611" spans="1:13">
      <c r="A611" s="1">
        <f>HYPERLINK("https://lsnyc.legalserver.org/matter/dynamic-profile/view/1899651","19-1899651")</f>
        <v>0</v>
      </c>
      <c r="B611" t="s">
        <v>19</v>
      </c>
      <c r="C611" t="s">
        <v>54</v>
      </c>
      <c r="D611" t="s">
        <v>593</v>
      </c>
      <c r="E611" t="s">
        <v>2376</v>
      </c>
      <c r="F611" t="s">
        <v>2437</v>
      </c>
      <c r="I611" t="s">
        <v>2446</v>
      </c>
      <c r="J611" t="s">
        <v>2453</v>
      </c>
      <c r="K611" t="s">
        <v>2588</v>
      </c>
      <c r="L611" t="s">
        <v>2602</v>
      </c>
      <c r="M611" t="s">
        <v>2618</v>
      </c>
    </row>
    <row r="612" spans="1:13">
      <c r="A612" s="1">
        <f>HYPERLINK("https://lsnyc.legalserver.org/matter/dynamic-profile/view/1899290","19-1899290")</f>
        <v>0</v>
      </c>
      <c r="B612" t="s">
        <v>19</v>
      </c>
      <c r="C612" t="s">
        <v>50</v>
      </c>
      <c r="D612" t="s">
        <v>594</v>
      </c>
      <c r="E612" t="s">
        <v>2383</v>
      </c>
      <c r="F612" t="s">
        <v>2437</v>
      </c>
      <c r="G612" t="s">
        <v>2444</v>
      </c>
      <c r="I612" t="s">
        <v>2446</v>
      </c>
      <c r="J612" t="s">
        <v>2447</v>
      </c>
      <c r="M612" t="s">
        <v>2624</v>
      </c>
    </row>
    <row r="613" spans="1:13">
      <c r="A613" s="1">
        <f>HYPERLINK("https://lsnyc.legalserver.org/matter/dynamic-profile/view/1899512","19-1899512")</f>
        <v>0</v>
      </c>
      <c r="B613" t="s">
        <v>14</v>
      </c>
      <c r="C613" t="s">
        <v>26</v>
      </c>
      <c r="D613" t="s">
        <v>595</v>
      </c>
      <c r="E613" t="s">
        <v>2403</v>
      </c>
      <c r="F613" t="s">
        <v>2441</v>
      </c>
      <c r="I613" t="s">
        <v>2446</v>
      </c>
      <c r="J613" t="s">
        <v>2450</v>
      </c>
      <c r="K613" t="s">
        <v>2569</v>
      </c>
      <c r="L613" t="s">
        <v>2603</v>
      </c>
      <c r="M613" t="s">
        <v>2639</v>
      </c>
    </row>
    <row r="614" spans="1:13">
      <c r="A614" s="1">
        <f>HYPERLINK("https://lsnyc.legalserver.org/matter/dynamic-profile/view/1899432","19-1899432")</f>
        <v>0</v>
      </c>
      <c r="B614" t="s">
        <v>16</v>
      </c>
      <c r="C614" t="s">
        <v>46</v>
      </c>
      <c r="D614" t="s">
        <v>596</v>
      </c>
      <c r="E614" t="s">
        <v>2393</v>
      </c>
      <c r="F614" t="s">
        <v>2437</v>
      </c>
      <c r="I614" t="s">
        <v>2446</v>
      </c>
      <c r="J614" t="s">
        <v>2467</v>
      </c>
      <c r="K614" t="s">
        <v>2572</v>
      </c>
      <c r="L614" t="s">
        <v>2601</v>
      </c>
      <c r="M614" t="s">
        <v>2631</v>
      </c>
    </row>
    <row r="615" spans="1:13">
      <c r="A615" s="1">
        <f>HYPERLINK("https://lsnyc.legalserver.org/matter/dynamic-profile/view/1899423","19-1899423")</f>
        <v>0</v>
      </c>
      <c r="B615" t="s">
        <v>16</v>
      </c>
      <c r="C615" t="s">
        <v>46</v>
      </c>
      <c r="D615" t="s">
        <v>597</v>
      </c>
      <c r="E615" t="s">
        <v>2393</v>
      </c>
      <c r="F615" t="s">
        <v>2437</v>
      </c>
      <c r="I615" t="s">
        <v>2446</v>
      </c>
      <c r="J615" t="s">
        <v>2450</v>
      </c>
      <c r="K615" t="s">
        <v>2569</v>
      </c>
      <c r="M615" t="s">
        <v>2637</v>
      </c>
    </row>
    <row r="616" spans="1:13">
      <c r="A616" s="1">
        <f>HYPERLINK("https://lsnyc.legalserver.org/matter/dynamic-profile/view/1899443","19-1899443")</f>
        <v>0</v>
      </c>
      <c r="B616" t="s">
        <v>16</v>
      </c>
      <c r="C616" t="s">
        <v>46</v>
      </c>
      <c r="D616" t="s">
        <v>598</v>
      </c>
      <c r="E616" t="s">
        <v>2393</v>
      </c>
      <c r="F616" t="s">
        <v>2437</v>
      </c>
      <c r="I616" t="s">
        <v>2446</v>
      </c>
      <c r="J616" t="s">
        <v>2461</v>
      </c>
      <c r="L616" t="s">
        <v>2600</v>
      </c>
      <c r="M616" t="s">
        <v>2637</v>
      </c>
    </row>
    <row r="617" spans="1:13">
      <c r="A617" s="1">
        <f>HYPERLINK("https://lsnyc.legalserver.org/matter/dynamic-profile/view/1899477","19-1899477")</f>
        <v>0</v>
      </c>
      <c r="B617" t="s">
        <v>16</v>
      </c>
      <c r="C617" t="s">
        <v>46</v>
      </c>
      <c r="D617" t="s">
        <v>599</v>
      </c>
      <c r="E617" t="s">
        <v>2393</v>
      </c>
      <c r="F617" t="s">
        <v>2437</v>
      </c>
      <c r="I617" t="s">
        <v>2446</v>
      </c>
      <c r="J617" t="s">
        <v>2448</v>
      </c>
      <c r="K617" t="s">
        <v>2569</v>
      </c>
      <c r="L617" t="s">
        <v>2600</v>
      </c>
      <c r="M617" t="s">
        <v>2637</v>
      </c>
    </row>
    <row r="618" spans="1:13">
      <c r="A618" s="1">
        <f>HYPERLINK("https://lsnyc.legalserver.org/matter/dynamic-profile/view/1899531","19-1899531")</f>
        <v>0</v>
      </c>
      <c r="B618" t="s">
        <v>16</v>
      </c>
      <c r="C618" t="s">
        <v>46</v>
      </c>
      <c r="D618" t="s">
        <v>600</v>
      </c>
      <c r="E618" t="s">
        <v>2393</v>
      </c>
      <c r="F618" t="s">
        <v>2437</v>
      </c>
      <c r="I618" t="s">
        <v>2446</v>
      </c>
      <c r="J618" t="s">
        <v>2454</v>
      </c>
      <c r="L618" t="s">
        <v>2600</v>
      </c>
      <c r="M618" t="s">
        <v>2637</v>
      </c>
    </row>
    <row r="619" spans="1:13">
      <c r="A619" s="1">
        <f>HYPERLINK("https://lsnyc.legalserver.org/matter/dynamic-profile/view/1899534","19-1899534")</f>
        <v>0</v>
      </c>
      <c r="B619" t="s">
        <v>16</v>
      </c>
      <c r="C619" t="s">
        <v>46</v>
      </c>
      <c r="D619" t="s">
        <v>601</v>
      </c>
      <c r="E619" t="s">
        <v>2393</v>
      </c>
      <c r="F619" t="s">
        <v>2437</v>
      </c>
      <c r="I619" t="s">
        <v>2446</v>
      </c>
      <c r="J619" t="s">
        <v>2491</v>
      </c>
      <c r="K619" t="s">
        <v>2572</v>
      </c>
      <c r="L619" t="s">
        <v>2600</v>
      </c>
      <c r="M619" t="s">
        <v>2637</v>
      </c>
    </row>
    <row r="620" spans="1:13">
      <c r="A620" s="1">
        <f>HYPERLINK("https://lsnyc.legalserver.org/matter/dynamic-profile/view/1899326","19-1899326")</f>
        <v>0</v>
      </c>
      <c r="B620" t="s">
        <v>16</v>
      </c>
      <c r="C620" t="s">
        <v>46</v>
      </c>
      <c r="D620" t="s">
        <v>602</v>
      </c>
      <c r="E620" t="s">
        <v>2393</v>
      </c>
      <c r="F620" t="s">
        <v>2437</v>
      </c>
      <c r="I620" t="s">
        <v>2446</v>
      </c>
      <c r="J620" t="s">
        <v>2448</v>
      </c>
      <c r="K620" t="s">
        <v>2569</v>
      </c>
      <c r="L620" t="s">
        <v>2608</v>
      </c>
      <c r="M620" t="s">
        <v>2626</v>
      </c>
    </row>
    <row r="621" spans="1:13">
      <c r="A621" s="1">
        <f>HYPERLINK("https://lsnyc.legalserver.org/matter/dynamic-profile/view/1899378","19-1899378")</f>
        <v>0</v>
      </c>
      <c r="B621" t="s">
        <v>19</v>
      </c>
      <c r="C621" t="s">
        <v>50</v>
      </c>
      <c r="D621" t="s">
        <v>351</v>
      </c>
      <c r="E621" t="s">
        <v>2373</v>
      </c>
      <c r="F621" t="s">
        <v>2441</v>
      </c>
      <c r="I621" t="s">
        <v>2446</v>
      </c>
      <c r="J621" t="s">
        <v>2465</v>
      </c>
      <c r="K621" t="s">
        <v>2569</v>
      </c>
      <c r="L621" t="s">
        <v>2609</v>
      </c>
      <c r="M621" t="s">
        <v>2615</v>
      </c>
    </row>
    <row r="622" spans="1:13">
      <c r="A622" s="1">
        <f>HYPERLINK("https://lsnyc.legalserver.org/matter/dynamic-profile/view/1899310","19-1899310")</f>
        <v>0</v>
      </c>
      <c r="B622" t="s">
        <v>18</v>
      </c>
      <c r="C622" t="s">
        <v>34</v>
      </c>
      <c r="D622" t="s">
        <v>603</v>
      </c>
      <c r="E622" t="s">
        <v>2391</v>
      </c>
      <c r="F622" t="s">
        <v>2438</v>
      </c>
      <c r="I622" t="s">
        <v>2446</v>
      </c>
      <c r="J622" t="s">
        <v>2450</v>
      </c>
      <c r="K622" t="s">
        <v>2569</v>
      </c>
      <c r="M622" t="s">
        <v>2615</v>
      </c>
    </row>
    <row r="623" spans="1:13">
      <c r="A623" s="1">
        <f>HYPERLINK("https://lsnyc.legalserver.org/matter/dynamic-profile/view/1899319","19-1899319")</f>
        <v>0</v>
      </c>
      <c r="B623" t="s">
        <v>16</v>
      </c>
      <c r="C623" t="s">
        <v>46</v>
      </c>
      <c r="D623" t="s">
        <v>604</v>
      </c>
      <c r="E623" t="s">
        <v>2393</v>
      </c>
      <c r="F623" t="s">
        <v>2437</v>
      </c>
      <c r="I623" t="s">
        <v>2446</v>
      </c>
      <c r="J623" t="s">
        <v>2448</v>
      </c>
      <c r="K623" t="s">
        <v>2569</v>
      </c>
      <c r="M623" t="s">
        <v>2637</v>
      </c>
    </row>
    <row r="624" spans="1:13">
      <c r="A624" s="1">
        <f>HYPERLINK("https://lsnyc.legalserver.org/matter/dynamic-profile/view/1899330","19-1899330")</f>
        <v>0</v>
      </c>
      <c r="B624" t="s">
        <v>16</v>
      </c>
      <c r="C624" t="s">
        <v>46</v>
      </c>
      <c r="D624" t="s">
        <v>605</v>
      </c>
      <c r="E624" t="s">
        <v>2393</v>
      </c>
      <c r="F624" t="s">
        <v>2437</v>
      </c>
      <c r="I624" t="s">
        <v>2446</v>
      </c>
      <c r="J624" t="s">
        <v>2474</v>
      </c>
      <c r="K624" t="s">
        <v>2572</v>
      </c>
      <c r="L624" t="s">
        <v>2600</v>
      </c>
      <c r="M624" t="s">
        <v>2637</v>
      </c>
    </row>
    <row r="625" spans="1:14">
      <c r="A625" s="1">
        <f>HYPERLINK("https://lsnyc.legalserver.org/matter/dynamic-profile/view/1899344","19-1899344")</f>
        <v>0</v>
      </c>
      <c r="B625" t="s">
        <v>16</v>
      </c>
      <c r="C625" t="s">
        <v>46</v>
      </c>
      <c r="D625" t="s">
        <v>606</v>
      </c>
      <c r="E625" t="s">
        <v>2393</v>
      </c>
      <c r="F625" t="s">
        <v>2437</v>
      </c>
      <c r="I625" t="s">
        <v>2446</v>
      </c>
      <c r="J625" t="s">
        <v>2474</v>
      </c>
      <c r="K625" t="s">
        <v>2572</v>
      </c>
      <c r="M625" t="s">
        <v>2637</v>
      </c>
    </row>
    <row r="626" spans="1:14">
      <c r="A626" s="1">
        <f>HYPERLINK("https://lsnyc.legalserver.org/matter/dynamic-profile/view/1899356","19-1899356")</f>
        <v>0</v>
      </c>
      <c r="B626" t="s">
        <v>16</v>
      </c>
      <c r="C626" t="s">
        <v>46</v>
      </c>
      <c r="D626" t="s">
        <v>607</v>
      </c>
      <c r="E626" t="s">
        <v>2393</v>
      </c>
      <c r="F626" t="s">
        <v>2437</v>
      </c>
      <c r="I626" t="s">
        <v>2446</v>
      </c>
      <c r="J626" t="s">
        <v>2511</v>
      </c>
      <c r="M626" t="s">
        <v>2637</v>
      </c>
    </row>
    <row r="627" spans="1:14">
      <c r="A627" s="1">
        <f>HYPERLINK("https://lsnyc.legalserver.org/matter/dynamic-profile/view/1899370","19-1899370")</f>
        <v>0</v>
      </c>
      <c r="B627" t="s">
        <v>16</v>
      </c>
      <c r="C627" t="s">
        <v>46</v>
      </c>
      <c r="D627" t="s">
        <v>608</v>
      </c>
      <c r="E627" t="s">
        <v>2393</v>
      </c>
      <c r="F627" t="s">
        <v>2437</v>
      </c>
      <c r="I627" t="s">
        <v>2446</v>
      </c>
      <c r="J627" t="s">
        <v>2448</v>
      </c>
      <c r="K627" t="s">
        <v>2569</v>
      </c>
      <c r="M627" t="s">
        <v>2637</v>
      </c>
    </row>
    <row r="628" spans="1:14">
      <c r="A628" s="1">
        <f>HYPERLINK("https://lsnyc.legalserver.org/matter/dynamic-profile/view/1899396","19-1899396")</f>
        <v>0</v>
      </c>
      <c r="B628" t="s">
        <v>16</v>
      </c>
      <c r="C628" t="s">
        <v>23</v>
      </c>
      <c r="D628" t="s">
        <v>609</v>
      </c>
      <c r="E628" t="s">
        <v>2393</v>
      </c>
      <c r="F628" t="s">
        <v>2437</v>
      </c>
      <c r="I628" t="s">
        <v>2446</v>
      </c>
      <c r="J628" t="s">
        <v>2448</v>
      </c>
      <c r="M628" t="s">
        <v>2637</v>
      </c>
    </row>
    <row r="629" spans="1:14">
      <c r="A629" s="1">
        <f>HYPERLINK("https://lsnyc.legalserver.org/matter/dynamic-profile/view/1899197","19-1899197")</f>
        <v>0</v>
      </c>
      <c r="B629" t="s">
        <v>16</v>
      </c>
      <c r="C629" t="s">
        <v>23</v>
      </c>
      <c r="D629" t="s">
        <v>610</v>
      </c>
      <c r="E629" t="s">
        <v>2406</v>
      </c>
      <c r="F629" t="s">
        <v>2437</v>
      </c>
      <c r="I629" t="s">
        <v>2446</v>
      </c>
      <c r="J629" t="s">
        <v>2465</v>
      </c>
      <c r="M629" t="s">
        <v>2642</v>
      </c>
    </row>
    <row r="630" spans="1:14">
      <c r="A630" s="1">
        <f>HYPERLINK("https://lsnyc.legalserver.org/matter/dynamic-profile/view/1899205","19-1899205")</f>
        <v>0</v>
      </c>
      <c r="B630" t="s">
        <v>16</v>
      </c>
      <c r="C630" t="s">
        <v>23</v>
      </c>
      <c r="D630" t="s">
        <v>611</v>
      </c>
      <c r="E630" t="s">
        <v>2413</v>
      </c>
      <c r="F630" t="s">
        <v>2437</v>
      </c>
      <c r="I630" t="s">
        <v>2446</v>
      </c>
      <c r="J630" t="s">
        <v>2465</v>
      </c>
      <c r="M630" t="s">
        <v>2629</v>
      </c>
    </row>
    <row r="631" spans="1:14">
      <c r="A631" s="1">
        <f>HYPERLINK("https://lsnyc.legalserver.org/matter/dynamic-profile/view/1899212","19-1899212")</f>
        <v>0</v>
      </c>
      <c r="B631" t="s">
        <v>16</v>
      </c>
      <c r="C631" t="s">
        <v>23</v>
      </c>
      <c r="D631" t="s">
        <v>612</v>
      </c>
      <c r="E631" t="s">
        <v>2413</v>
      </c>
      <c r="F631" t="s">
        <v>2437</v>
      </c>
      <c r="I631" t="s">
        <v>2446</v>
      </c>
      <c r="J631" t="s">
        <v>2465</v>
      </c>
      <c r="M631" t="s">
        <v>2629</v>
      </c>
    </row>
    <row r="632" spans="1:14">
      <c r="A632" s="1">
        <f>HYPERLINK("https://lsnyc.legalserver.org/matter/dynamic-profile/view/1899229","19-1899229")</f>
        <v>0</v>
      </c>
      <c r="B632" t="s">
        <v>16</v>
      </c>
      <c r="C632" t="s">
        <v>23</v>
      </c>
      <c r="D632" t="s">
        <v>612</v>
      </c>
      <c r="E632" t="s">
        <v>2406</v>
      </c>
      <c r="F632" t="s">
        <v>2437</v>
      </c>
      <c r="I632" t="s">
        <v>2446</v>
      </c>
      <c r="J632" t="s">
        <v>2465</v>
      </c>
      <c r="M632" t="s">
        <v>2642</v>
      </c>
    </row>
    <row r="633" spans="1:14">
      <c r="A633" s="1">
        <f>HYPERLINK("https://lsnyc.legalserver.org/matter/dynamic-profile/view/1899236","19-1899236")</f>
        <v>0</v>
      </c>
      <c r="B633" t="s">
        <v>16</v>
      </c>
      <c r="C633" t="s">
        <v>23</v>
      </c>
      <c r="D633" t="s">
        <v>611</v>
      </c>
      <c r="E633" t="s">
        <v>2406</v>
      </c>
      <c r="F633" t="s">
        <v>2437</v>
      </c>
      <c r="I633" t="s">
        <v>2446</v>
      </c>
      <c r="J633" t="s">
        <v>2465</v>
      </c>
      <c r="M633" t="s">
        <v>2642</v>
      </c>
    </row>
    <row r="634" spans="1:14">
      <c r="A634" s="1">
        <f>HYPERLINK("https://lsnyc.legalserver.org/matter/dynamic-profile/view/1899249","19-1899249")</f>
        <v>0</v>
      </c>
      <c r="B634" t="s">
        <v>16</v>
      </c>
      <c r="C634" t="s">
        <v>23</v>
      </c>
      <c r="D634" t="s">
        <v>613</v>
      </c>
      <c r="E634" t="s">
        <v>2393</v>
      </c>
      <c r="F634" t="s">
        <v>2437</v>
      </c>
      <c r="I634" t="s">
        <v>2446</v>
      </c>
      <c r="J634" t="s">
        <v>2448</v>
      </c>
      <c r="M634" t="s">
        <v>2637</v>
      </c>
    </row>
    <row r="635" spans="1:14">
      <c r="A635" s="1">
        <f>HYPERLINK("https://lsnyc.legalserver.org/matter/dynamic-profile/view/1899057","19-1899057")</f>
        <v>0</v>
      </c>
      <c r="B635" t="s">
        <v>16</v>
      </c>
      <c r="C635" t="s">
        <v>23</v>
      </c>
      <c r="D635" t="s">
        <v>614</v>
      </c>
      <c r="E635" t="s">
        <v>2376</v>
      </c>
      <c r="F635" t="s">
        <v>2437</v>
      </c>
      <c r="G635" t="s">
        <v>2444</v>
      </c>
      <c r="I635" t="s">
        <v>2446</v>
      </c>
      <c r="J635" t="s">
        <v>2488</v>
      </c>
      <c r="M635" t="s">
        <v>2618</v>
      </c>
    </row>
    <row r="636" spans="1:14">
      <c r="A636" s="1">
        <f>HYPERLINK("https://lsnyc.legalserver.org/matter/dynamic-profile/view/1899068","19-1899068")</f>
        <v>0</v>
      </c>
      <c r="B636" t="s">
        <v>16</v>
      </c>
      <c r="C636" t="s">
        <v>46</v>
      </c>
      <c r="D636" t="s">
        <v>197</v>
      </c>
      <c r="E636" t="s">
        <v>2374</v>
      </c>
      <c r="F636" t="s">
        <v>2438</v>
      </c>
      <c r="I636" t="s">
        <v>2446</v>
      </c>
      <c r="J636" t="s">
        <v>2450</v>
      </c>
      <c r="M636" t="s">
        <v>2616</v>
      </c>
    </row>
    <row r="637" spans="1:14">
      <c r="A637" s="1">
        <f>HYPERLINK("https://lsnyc.legalserver.org/matter/dynamic-profile/view/1899076","19-1899076")</f>
        <v>0</v>
      </c>
      <c r="B637" t="s">
        <v>16</v>
      </c>
      <c r="C637" t="s">
        <v>23</v>
      </c>
      <c r="D637" t="s">
        <v>615</v>
      </c>
      <c r="E637" t="s">
        <v>2393</v>
      </c>
      <c r="F637" t="s">
        <v>2437</v>
      </c>
      <c r="G637" t="s">
        <v>2444</v>
      </c>
      <c r="I637" t="s">
        <v>2446</v>
      </c>
      <c r="J637" t="s">
        <v>2449</v>
      </c>
      <c r="M637" t="s">
        <v>2637</v>
      </c>
    </row>
    <row r="638" spans="1:14">
      <c r="A638" s="1">
        <f>HYPERLINK("https://lsnyc.legalserver.org/matter/dynamic-profile/view/1899089","19-1899089")</f>
        <v>0</v>
      </c>
      <c r="B638" t="s">
        <v>18</v>
      </c>
      <c r="C638" t="s">
        <v>34</v>
      </c>
      <c r="D638" t="s">
        <v>616</v>
      </c>
      <c r="E638" t="s">
        <v>2374</v>
      </c>
      <c r="F638" t="s">
        <v>2437</v>
      </c>
      <c r="J638" t="s">
        <v>2450</v>
      </c>
      <c r="K638" t="s">
        <v>2569</v>
      </c>
      <c r="M638" t="s">
        <v>2616</v>
      </c>
      <c r="N638" t="s">
        <v>2649</v>
      </c>
    </row>
    <row r="639" spans="1:14">
      <c r="A639" s="1">
        <f>HYPERLINK("https://lsnyc.legalserver.org/matter/dynamic-profile/view/1899100","19-1899100")</f>
        <v>0</v>
      </c>
      <c r="B639" t="s">
        <v>18</v>
      </c>
      <c r="C639" t="s">
        <v>34</v>
      </c>
      <c r="D639" t="s">
        <v>617</v>
      </c>
      <c r="E639" t="s">
        <v>2375</v>
      </c>
      <c r="F639" t="s">
        <v>2437</v>
      </c>
      <c r="I639" t="s">
        <v>2446</v>
      </c>
      <c r="J639" t="s">
        <v>2450</v>
      </c>
      <c r="K639" t="s">
        <v>2569</v>
      </c>
      <c r="M639" t="s">
        <v>2617</v>
      </c>
    </row>
    <row r="640" spans="1:14">
      <c r="A640" s="1">
        <f>HYPERLINK("https://lsnyc.legalserver.org/matter/dynamic-profile/view/1899105","19-1899105")</f>
        <v>0</v>
      </c>
      <c r="B640" t="s">
        <v>18</v>
      </c>
      <c r="C640" t="s">
        <v>34</v>
      </c>
      <c r="D640" t="s">
        <v>617</v>
      </c>
      <c r="E640" t="s">
        <v>2373</v>
      </c>
      <c r="F640" t="s">
        <v>2438</v>
      </c>
      <c r="I640" t="s">
        <v>2446</v>
      </c>
      <c r="J640" t="s">
        <v>2450</v>
      </c>
      <c r="K640" t="s">
        <v>2569</v>
      </c>
      <c r="M640" t="s">
        <v>2615</v>
      </c>
    </row>
    <row r="641" spans="1:13">
      <c r="A641" s="1">
        <f>HYPERLINK("https://lsnyc.legalserver.org/matter/dynamic-profile/view/1899108","19-1899108")</f>
        <v>0</v>
      </c>
      <c r="B641" t="s">
        <v>18</v>
      </c>
      <c r="C641" t="s">
        <v>34</v>
      </c>
      <c r="D641" t="s">
        <v>618</v>
      </c>
      <c r="E641" t="s">
        <v>2380</v>
      </c>
      <c r="F641" t="s">
        <v>2438</v>
      </c>
      <c r="I641" t="s">
        <v>2446</v>
      </c>
      <c r="J641" t="s">
        <v>2450</v>
      </c>
      <c r="K641" t="s">
        <v>2569</v>
      </c>
      <c r="M641" t="s">
        <v>2621</v>
      </c>
    </row>
    <row r="642" spans="1:13">
      <c r="A642" s="1">
        <f>HYPERLINK("https://lsnyc.legalserver.org/matter/dynamic-profile/view/1899160","19-1899160")</f>
        <v>0</v>
      </c>
      <c r="B642" t="s">
        <v>16</v>
      </c>
      <c r="C642" t="s">
        <v>23</v>
      </c>
      <c r="D642" t="s">
        <v>619</v>
      </c>
      <c r="E642" t="s">
        <v>2393</v>
      </c>
      <c r="F642" t="s">
        <v>2437</v>
      </c>
      <c r="J642" t="s">
        <v>2457</v>
      </c>
      <c r="K642" t="s">
        <v>2569</v>
      </c>
      <c r="M642" t="s">
        <v>2637</v>
      </c>
    </row>
    <row r="643" spans="1:13">
      <c r="A643" s="1">
        <f>HYPERLINK("https://lsnyc.legalserver.org/matter/dynamic-profile/view/1899169","19-1899169")</f>
        <v>0</v>
      </c>
      <c r="B643" t="s">
        <v>16</v>
      </c>
      <c r="C643" t="s">
        <v>23</v>
      </c>
      <c r="D643" t="s">
        <v>619</v>
      </c>
      <c r="E643" t="s">
        <v>2406</v>
      </c>
      <c r="F643" t="s">
        <v>2437</v>
      </c>
      <c r="I643" t="s">
        <v>2446</v>
      </c>
      <c r="J643" t="s">
        <v>2457</v>
      </c>
      <c r="K643" t="s">
        <v>2569</v>
      </c>
      <c r="M643" t="s">
        <v>2642</v>
      </c>
    </row>
    <row r="644" spans="1:13">
      <c r="A644" s="1">
        <f>HYPERLINK("https://lsnyc.legalserver.org/matter/dynamic-profile/view/1899173","19-1899173")</f>
        <v>0</v>
      </c>
      <c r="B644" t="s">
        <v>16</v>
      </c>
      <c r="C644" t="s">
        <v>23</v>
      </c>
      <c r="D644" t="s">
        <v>619</v>
      </c>
      <c r="E644" t="s">
        <v>2376</v>
      </c>
      <c r="F644" t="s">
        <v>2437</v>
      </c>
      <c r="J644" t="s">
        <v>2457</v>
      </c>
      <c r="M644" t="s">
        <v>2618</v>
      </c>
    </row>
    <row r="645" spans="1:13">
      <c r="A645" s="1">
        <f>HYPERLINK("https://lsnyc.legalserver.org/matter/dynamic-profile/view/1899093","19-1899093")</f>
        <v>0</v>
      </c>
      <c r="B645" t="s">
        <v>17</v>
      </c>
      <c r="C645" t="s">
        <v>28</v>
      </c>
      <c r="D645" t="s">
        <v>620</v>
      </c>
      <c r="E645" t="s">
        <v>2376</v>
      </c>
      <c r="F645" t="s">
        <v>2437</v>
      </c>
      <c r="I645" t="s">
        <v>2446</v>
      </c>
      <c r="J645" t="s">
        <v>2471</v>
      </c>
      <c r="K645" t="s">
        <v>2571</v>
      </c>
      <c r="L645" t="s">
        <v>2600</v>
      </c>
      <c r="M645" t="s">
        <v>2618</v>
      </c>
    </row>
    <row r="646" spans="1:13">
      <c r="A646" s="1">
        <f>HYPERLINK("https://lsnyc.legalserver.org/matter/dynamic-profile/view/1898930","19-1898930")</f>
        <v>0</v>
      </c>
      <c r="B646" t="s">
        <v>19</v>
      </c>
      <c r="C646" t="s">
        <v>47</v>
      </c>
      <c r="D646" t="s">
        <v>621</v>
      </c>
      <c r="E646" t="s">
        <v>2376</v>
      </c>
      <c r="F646" t="s">
        <v>2437</v>
      </c>
      <c r="J646" t="s">
        <v>2452</v>
      </c>
      <c r="L646" t="s">
        <v>2603</v>
      </c>
      <c r="M646" t="s">
        <v>2618</v>
      </c>
    </row>
    <row r="647" spans="1:13">
      <c r="A647" s="1">
        <f>HYPERLINK("https://lsnyc.legalserver.org/matter/dynamic-profile/view/1898943","19-1898943")</f>
        <v>0</v>
      </c>
      <c r="B647" t="s">
        <v>16</v>
      </c>
      <c r="C647" t="s">
        <v>23</v>
      </c>
      <c r="D647" t="s">
        <v>622</v>
      </c>
      <c r="E647" t="s">
        <v>2393</v>
      </c>
      <c r="F647" t="s">
        <v>2437</v>
      </c>
      <c r="G647" t="s">
        <v>2444</v>
      </c>
      <c r="I647" t="s">
        <v>2446</v>
      </c>
      <c r="J647" t="s">
        <v>2452</v>
      </c>
      <c r="M647" t="s">
        <v>2637</v>
      </c>
    </row>
    <row r="648" spans="1:13">
      <c r="A648" s="1">
        <f>HYPERLINK("https://lsnyc.legalserver.org/matter/dynamic-profile/view/1898949","19-1898949")</f>
        <v>0</v>
      </c>
      <c r="B648" t="s">
        <v>14</v>
      </c>
      <c r="C648" t="s">
        <v>20</v>
      </c>
      <c r="D648" t="s">
        <v>623</v>
      </c>
      <c r="E648" t="s">
        <v>2374</v>
      </c>
      <c r="F648" t="s">
        <v>2438</v>
      </c>
      <c r="J648" t="s">
        <v>2450</v>
      </c>
      <c r="K648" t="s">
        <v>2569</v>
      </c>
      <c r="M648" t="s">
        <v>2616</v>
      </c>
    </row>
    <row r="649" spans="1:13">
      <c r="A649" s="1">
        <f>HYPERLINK("https://lsnyc.legalserver.org/matter/dynamic-profile/view/1898958","19-1898958")</f>
        <v>0</v>
      </c>
      <c r="B649" t="s">
        <v>16</v>
      </c>
      <c r="C649" t="s">
        <v>23</v>
      </c>
      <c r="D649" t="s">
        <v>624</v>
      </c>
      <c r="E649" t="s">
        <v>2416</v>
      </c>
      <c r="F649" t="s">
        <v>2437</v>
      </c>
      <c r="I649" t="s">
        <v>2446</v>
      </c>
      <c r="J649" t="s">
        <v>2488</v>
      </c>
      <c r="M649" t="s">
        <v>2644</v>
      </c>
    </row>
    <row r="650" spans="1:13">
      <c r="A650" s="1">
        <f>HYPERLINK("https://lsnyc.legalserver.org/matter/dynamic-profile/view/1899030","19-1899030")</f>
        <v>0</v>
      </c>
      <c r="B650" t="s">
        <v>16</v>
      </c>
      <c r="C650" t="s">
        <v>24</v>
      </c>
      <c r="D650" t="s">
        <v>625</v>
      </c>
      <c r="F650" t="s">
        <v>2436</v>
      </c>
      <c r="J650" t="s">
        <v>2457</v>
      </c>
      <c r="K650" t="s">
        <v>2569</v>
      </c>
      <c r="M650" t="s">
        <v>2436</v>
      </c>
    </row>
    <row r="651" spans="1:13">
      <c r="A651" s="1">
        <f>HYPERLINK("https://lsnyc.legalserver.org/matter/dynamic-profile/view/1899032","19-1899032")</f>
        <v>0</v>
      </c>
      <c r="B651" t="s">
        <v>17</v>
      </c>
      <c r="C651" t="s">
        <v>25</v>
      </c>
      <c r="D651" t="s">
        <v>626</v>
      </c>
      <c r="E651" t="s">
        <v>2375</v>
      </c>
      <c r="F651" t="s">
        <v>2437</v>
      </c>
      <c r="I651" t="s">
        <v>2446</v>
      </c>
      <c r="J651" t="s">
        <v>2454</v>
      </c>
      <c r="K651" t="s">
        <v>2572</v>
      </c>
      <c r="M651" t="s">
        <v>2617</v>
      </c>
    </row>
    <row r="652" spans="1:13">
      <c r="A652" s="1">
        <f>HYPERLINK("https://lsnyc.legalserver.org/matter/dynamic-profile/view/1899037","19-1899037")</f>
        <v>0</v>
      </c>
      <c r="B652" t="s">
        <v>15</v>
      </c>
      <c r="C652" t="s">
        <v>22</v>
      </c>
      <c r="D652" t="s">
        <v>627</v>
      </c>
      <c r="E652" t="s">
        <v>2375</v>
      </c>
      <c r="F652" t="s">
        <v>2437</v>
      </c>
      <c r="J652" t="s">
        <v>2499</v>
      </c>
      <c r="K652" t="s">
        <v>2589</v>
      </c>
      <c r="M652" t="s">
        <v>2617</v>
      </c>
    </row>
    <row r="653" spans="1:13">
      <c r="A653" s="1">
        <f>HYPERLINK("https://lsnyc.legalserver.org/matter/dynamic-profile/view/1898913","19-1898913")</f>
        <v>0</v>
      </c>
      <c r="B653" t="s">
        <v>19</v>
      </c>
      <c r="C653" t="s">
        <v>50</v>
      </c>
      <c r="D653" t="s">
        <v>628</v>
      </c>
      <c r="E653" t="s">
        <v>2374</v>
      </c>
      <c r="F653" t="s">
        <v>2439</v>
      </c>
      <c r="I653" t="s">
        <v>2446</v>
      </c>
      <c r="J653" t="s">
        <v>2465</v>
      </c>
      <c r="K653" t="s">
        <v>2569</v>
      </c>
      <c r="L653" t="s">
        <v>2601</v>
      </c>
      <c r="M653" t="s">
        <v>2631</v>
      </c>
    </row>
    <row r="654" spans="1:13">
      <c r="A654" s="1">
        <f>HYPERLINK("https://lsnyc.legalserver.org/matter/dynamic-profile/view/1898917","19-1898917")</f>
        <v>0</v>
      </c>
      <c r="B654" t="s">
        <v>19</v>
      </c>
      <c r="C654" t="s">
        <v>50</v>
      </c>
      <c r="D654" t="s">
        <v>629</v>
      </c>
      <c r="E654" t="s">
        <v>2374</v>
      </c>
      <c r="F654" t="s">
        <v>2439</v>
      </c>
      <c r="I654" t="s">
        <v>2446</v>
      </c>
      <c r="J654" t="s">
        <v>2465</v>
      </c>
      <c r="K654" t="s">
        <v>2569</v>
      </c>
      <c r="L654" t="s">
        <v>2601</v>
      </c>
      <c r="M654" t="s">
        <v>2631</v>
      </c>
    </row>
    <row r="655" spans="1:13">
      <c r="A655" s="1">
        <f>HYPERLINK("https://lsnyc.legalserver.org/matter/dynamic-profile/view/1898819","19-1898819")</f>
        <v>0</v>
      </c>
      <c r="B655" t="s">
        <v>18</v>
      </c>
      <c r="C655" t="s">
        <v>53</v>
      </c>
      <c r="D655" t="s">
        <v>630</v>
      </c>
      <c r="E655" t="s">
        <v>2385</v>
      </c>
      <c r="F655" t="s">
        <v>2443</v>
      </c>
      <c r="I655" t="s">
        <v>2446</v>
      </c>
      <c r="J655" t="s">
        <v>2450</v>
      </c>
      <c r="K655" t="s">
        <v>2569</v>
      </c>
      <c r="M655" t="s">
        <v>2616</v>
      </c>
    </row>
    <row r="656" spans="1:13">
      <c r="A656" s="1">
        <f>HYPERLINK("https://lsnyc.legalserver.org/matter/dynamic-profile/view/1898833","19-1898833")</f>
        <v>0</v>
      </c>
      <c r="B656" t="s">
        <v>18</v>
      </c>
      <c r="C656" t="s">
        <v>53</v>
      </c>
      <c r="D656" t="s">
        <v>631</v>
      </c>
      <c r="E656" t="s">
        <v>2385</v>
      </c>
      <c r="F656" t="s">
        <v>2443</v>
      </c>
      <c r="I656" t="s">
        <v>2446</v>
      </c>
      <c r="J656" t="s">
        <v>2450</v>
      </c>
      <c r="K656" t="s">
        <v>2569</v>
      </c>
      <c r="M656" t="s">
        <v>2616</v>
      </c>
    </row>
    <row r="657" spans="1:13">
      <c r="A657" s="1">
        <f>HYPERLINK("https://lsnyc.legalserver.org/matter/dynamic-profile/view/1898787","19-1898787")</f>
        <v>0</v>
      </c>
      <c r="B657" t="s">
        <v>16</v>
      </c>
      <c r="C657" t="s">
        <v>24</v>
      </c>
      <c r="D657" t="s">
        <v>632</v>
      </c>
      <c r="E657" t="s">
        <v>2375</v>
      </c>
      <c r="F657" t="s">
        <v>2439</v>
      </c>
      <c r="I657" t="s">
        <v>2446</v>
      </c>
      <c r="J657" t="s">
        <v>2512</v>
      </c>
      <c r="K657" t="s">
        <v>2572</v>
      </c>
      <c r="L657" t="s">
        <v>2601</v>
      </c>
      <c r="M657" t="s">
        <v>2631</v>
      </c>
    </row>
    <row r="658" spans="1:13">
      <c r="A658" s="1">
        <f>HYPERLINK("https://lsnyc.legalserver.org/matter/dynamic-profile/view/1898649","19-1898649")</f>
        <v>0</v>
      </c>
      <c r="B658" t="s">
        <v>16</v>
      </c>
      <c r="C658" t="s">
        <v>23</v>
      </c>
      <c r="D658" t="s">
        <v>633</v>
      </c>
      <c r="E658" t="s">
        <v>2372</v>
      </c>
      <c r="F658" t="s">
        <v>2439</v>
      </c>
      <c r="J658" t="s">
        <v>2465</v>
      </c>
      <c r="K658" t="s">
        <v>2569</v>
      </c>
      <c r="L658" t="s">
        <v>2601</v>
      </c>
      <c r="M658" t="s">
        <v>2631</v>
      </c>
    </row>
    <row r="659" spans="1:13">
      <c r="A659" s="1">
        <f>HYPERLINK("https://lsnyc.legalserver.org/matter/dynamic-profile/view/1898650","19-1898650")</f>
        <v>0</v>
      </c>
      <c r="B659" t="s">
        <v>16</v>
      </c>
      <c r="C659" t="s">
        <v>23</v>
      </c>
      <c r="D659" t="s">
        <v>633</v>
      </c>
      <c r="E659" t="s">
        <v>2406</v>
      </c>
      <c r="F659" t="s">
        <v>2439</v>
      </c>
      <c r="J659" t="s">
        <v>2465</v>
      </c>
      <c r="K659" t="s">
        <v>2569</v>
      </c>
      <c r="L659" t="s">
        <v>2601</v>
      </c>
      <c r="M659" t="s">
        <v>2631</v>
      </c>
    </row>
    <row r="660" spans="1:13">
      <c r="A660" s="1">
        <f>HYPERLINK("https://lsnyc.legalserver.org/matter/dynamic-profile/view/1898642","19-1898642")</f>
        <v>0</v>
      </c>
      <c r="B660" t="s">
        <v>18</v>
      </c>
      <c r="C660" t="s">
        <v>45</v>
      </c>
      <c r="D660" t="s">
        <v>634</v>
      </c>
      <c r="E660" t="s">
        <v>2385</v>
      </c>
      <c r="F660" t="s">
        <v>2438</v>
      </c>
      <c r="I660" t="s">
        <v>2446</v>
      </c>
      <c r="J660" t="s">
        <v>2450</v>
      </c>
      <c r="K660" t="s">
        <v>2569</v>
      </c>
      <c r="M660" t="s">
        <v>2616</v>
      </c>
    </row>
    <row r="661" spans="1:13">
      <c r="A661" s="1">
        <f>HYPERLINK("https://lsnyc.legalserver.org/matter/dynamic-profile/view/1898651","19-1898651")</f>
        <v>0</v>
      </c>
      <c r="B661" t="s">
        <v>18</v>
      </c>
      <c r="C661" t="s">
        <v>45</v>
      </c>
      <c r="D661" t="s">
        <v>635</v>
      </c>
      <c r="E661" t="s">
        <v>2385</v>
      </c>
      <c r="F661" t="s">
        <v>2438</v>
      </c>
      <c r="I661" t="s">
        <v>2446</v>
      </c>
      <c r="J661" t="s">
        <v>2450</v>
      </c>
      <c r="K661" t="s">
        <v>2569</v>
      </c>
      <c r="M661" t="s">
        <v>2616</v>
      </c>
    </row>
    <row r="662" spans="1:13">
      <c r="A662" s="1">
        <f>HYPERLINK("https://lsnyc.legalserver.org/matter/dynamic-profile/view/1898660","19-1898660")</f>
        <v>0</v>
      </c>
      <c r="B662" t="s">
        <v>18</v>
      </c>
      <c r="C662" t="s">
        <v>27</v>
      </c>
      <c r="D662" t="s">
        <v>244</v>
      </c>
      <c r="E662" t="s">
        <v>2374</v>
      </c>
      <c r="F662" t="s">
        <v>2438</v>
      </c>
      <c r="J662" t="s">
        <v>2450</v>
      </c>
      <c r="K662" t="s">
        <v>2569</v>
      </c>
      <c r="M662" t="s">
        <v>2616</v>
      </c>
    </row>
    <row r="663" spans="1:13">
      <c r="A663" s="1">
        <f>HYPERLINK("https://lsnyc.legalserver.org/matter/dynamic-profile/view/1898663","19-1898663")</f>
        <v>0</v>
      </c>
      <c r="B663" t="s">
        <v>18</v>
      </c>
      <c r="C663" t="s">
        <v>45</v>
      </c>
      <c r="D663" t="s">
        <v>636</v>
      </c>
      <c r="E663" t="s">
        <v>2385</v>
      </c>
      <c r="F663" t="s">
        <v>2438</v>
      </c>
      <c r="I663" t="s">
        <v>2446</v>
      </c>
      <c r="J663" t="s">
        <v>2450</v>
      </c>
      <c r="K663" t="s">
        <v>2569</v>
      </c>
      <c r="M663" t="s">
        <v>2616</v>
      </c>
    </row>
    <row r="664" spans="1:13">
      <c r="A664" s="1">
        <f>HYPERLINK("https://lsnyc.legalserver.org/matter/dynamic-profile/view/1898669","19-1898669")</f>
        <v>0</v>
      </c>
      <c r="B664" t="s">
        <v>16</v>
      </c>
      <c r="C664" t="s">
        <v>23</v>
      </c>
      <c r="D664" t="s">
        <v>637</v>
      </c>
      <c r="E664" t="s">
        <v>2374</v>
      </c>
      <c r="F664" t="s">
        <v>2438</v>
      </c>
      <c r="I664" t="s">
        <v>2446</v>
      </c>
      <c r="J664" t="s">
        <v>2449</v>
      </c>
      <c r="K664" t="s">
        <v>2569</v>
      </c>
      <c r="M664" t="s">
        <v>2616</v>
      </c>
    </row>
    <row r="665" spans="1:13">
      <c r="A665" s="1">
        <f>HYPERLINK("https://lsnyc.legalserver.org/matter/dynamic-profile/view/1898671","19-1898671")</f>
        <v>0</v>
      </c>
      <c r="B665" t="s">
        <v>16</v>
      </c>
      <c r="C665" t="s">
        <v>23</v>
      </c>
      <c r="D665" t="s">
        <v>637</v>
      </c>
      <c r="E665" t="s">
        <v>2376</v>
      </c>
      <c r="F665" t="s">
        <v>2437</v>
      </c>
      <c r="I665" t="s">
        <v>2446</v>
      </c>
      <c r="J665" t="s">
        <v>2449</v>
      </c>
      <c r="K665" t="s">
        <v>2569</v>
      </c>
      <c r="M665" t="s">
        <v>2618</v>
      </c>
    </row>
    <row r="666" spans="1:13">
      <c r="A666" s="1">
        <f>HYPERLINK("https://lsnyc.legalserver.org/matter/dynamic-profile/view/1898708","19-1898708")</f>
        <v>0</v>
      </c>
      <c r="B666" t="s">
        <v>18</v>
      </c>
      <c r="C666" t="s">
        <v>45</v>
      </c>
      <c r="D666" t="s">
        <v>638</v>
      </c>
      <c r="E666" t="s">
        <v>2391</v>
      </c>
      <c r="F666" t="s">
        <v>2437</v>
      </c>
      <c r="I666" t="s">
        <v>2446</v>
      </c>
      <c r="J666" t="s">
        <v>2450</v>
      </c>
      <c r="K666" t="s">
        <v>2569</v>
      </c>
      <c r="M666" t="s">
        <v>2615</v>
      </c>
    </row>
    <row r="667" spans="1:13">
      <c r="A667" s="1">
        <f>HYPERLINK("https://lsnyc.legalserver.org/matter/dynamic-profile/view/1898715","19-1898715")</f>
        <v>0</v>
      </c>
      <c r="B667" t="s">
        <v>18</v>
      </c>
      <c r="C667" t="s">
        <v>45</v>
      </c>
      <c r="D667" t="s">
        <v>638</v>
      </c>
      <c r="E667" t="s">
        <v>2385</v>
      </c>
      <c r="F667" t="s">
        <v>2438</v>
      </c>
      <c r="I667" t="s">
        <v>2446</v>
      </c>
      <c r="J667" t="s">
        <v>2450</v>
      </c>
      <c r="K667" t="s">
        <v>2569</v>
      </c>
      <c r="M667" t="s">
        <v>2616</v>
      </c>
    </row>
    <row r="668" spans="1:13">
      <c r="A668" s="1">
        <f>HYPERLINK("https://lsnyc.legalserver.org/matter/dynamic-profile/view/1898723","19-1898723")</f>
        <v>0</v>
      </c>
      <c r="B668" t="s">
        <v>18</v>
      </c>
      <c r="C668" t="s">
        <v>45</v>
      </c>
      <c r="D668" t="s">
        <v>639</v>
      </c>
      <c r="E668" t="s">
        <v>2385</v>
      </c>
      <c r="F668" t="s">
        <v>2438</v>
      </c>
      <c r="I668" t="s">
        <v>2446</v>
      </c>
      <c r="J668" t="s">
        <v>2450</v>
      </c>
      <c r="K668" t="s">
        <v>2569</v>
      </c>
      <c r="M668" t="s">
        <v>2616</v>
      </c>
    </row>
    <row r="669" spans="1:13">
      <c r="A669" s="1">
        <f>HYPERLINK("https://lsnyc.legalserver.org/matter/dynamic-profile/view/1898725","19-1898725")</f>
        <v>0</v>
      </c>
      <c r="B669" t="s">
        <v>18</v>
      </c>
      <c r="C669" t="s">
        <v>45</v>
      </c>
      <c r="D669" t="s">
        <v>639</v>
      </c>
      <c r="E669" t="s">
        <v>2391</v>
      </c>
      <c r="F669" t="s">
        <v>2437</v>
      </c>
      <c r="I669" t="s">
        <v>2446</v>
      </c>
      <c r="J669" t="s">
        <v>2450</v>
      </c>
      <c r="K669" t="s">
        <v>2569</v>
      </c>
      <c r="M669" t="s">
        <v>2615</v>
      </c>
    </row>
    <row r="670" spans="1:13">
      <c r="A670" s="1">
        <f>HYPERLINK("https://lsnyc.legalserver.org/matter/dynamic-profile/view/1898735","19-1898735")</f>
        <v>0</v>
      </c>
      <c r="B670" t="s">
        <v>18</v>
      </c>
      <c r="C670" t="s">
        <v>45</v>
      </c>
      <c r="D670" t="s">
        <v>640</v>
      </c>
      <c r="E670" t="s">
        <v>2391</v>
      </c>
      <c r="F670" t="s">
        <v>2437</v>
      </c>
      <c r="I670" t="s">
        <v>2446</v>
      </c>
      <c r="J670" t="s">
        <v>2450</v>
      </c>
      <c r="K670" t="s">
        <v>2569</v>
      </c>
      <c r="M670" t="s">
        <v>2615</v>
      </c>
    </row>
    <row r="671" spans="1:13">
      <c r="A671" s="1">
        <f>HYPERLINK("https://lsnyc.legalserver.org/matter/dynamic-profile/view/1898737","19-1898737")</f>
        <v>0</v>
      </c>
      <c r="B671" t="s">
        <v>18</v>
      </c>
      <c r="C671" t="s">
        <v>45</v>
      </c>
      <c r="D671" t="s">
        <v>640</v>
      </c>
      <c r="E671" t="s">
        <v>2385</v>
      </c>
      <c r="F671" t="s">
        <v>2438</v>
      </c>
      <c r="I671" t="s">
        <v>2446</v>
      </c>
      <c r="J671" t="s">
        <v>2450</v>
      </c>
      <c r="K671" t="s">
        <v>2569</v>
      </c>
      <c r="M671" t="s">
        <v>2626</v>
      </c>
    </row>
    <row r="672" spans="1:13">
      <c r="A672" s="1">
        <f>HYPERLINK("https://lsnyc.legalserver.org/matter/dynamic-profile/view/1898587","19-1898587")</f>
        <v>0</v>
      </c>
      <c r="B672" t="s">
        <v>18</v>
      </c>
      <c r="C672" t="s">
        <v>45</v>
      </c>
      <c r="D672" t="s">
        <v>634</v>
      </c>
      <c r="E672" t="s">
        <v>2391</v>
      </c>
      <c r="F672" t="s">
        <v>2437</v>
      </c>
      <c r="I672" t="s">
        <v>2446</v>
      </c>
      <c r="J672" t="s">
        <v>2450</v>
      </c>
      <c r="K672" t="s">
        <v>2569</v>
      </c>
      <c r="M672" t="s">
        <v>2615</v>
      </c>
    </row>
    <row r="673" spans="1:14">
      <c r="A673" s="1">
        <f>HYPERLINK("https://lsnyc.legalserver.org/matter/dynamic-profile/view/1898594","19-1898594")</f>
        <v>0</v>
      </c>
      <c r="B673" t="s">
        <v>18</v>
      </c>
      <c r="C673" t="s">
        <v>45</v>
      </c>
      <c r="D673" t="s">
        <v>641</v>
      </c>
      <c r="E673" t="s">
        <v>2391</v>
      </c>
      <c r="F673" t="s">
        <v>2437</v>
      </c>
      <c r="I673" t="s">
        <v>2446</v>
      </c>
      <c r="J673" t="s">
        <v>2450</v>
      </c>
      <c r="K673" t="s">
        <v>2569</v>
      </c>
      <c r="M673" t="s">
        <v>2615</v>
      </c>
    </row>
    <row r="674" spans="1:14">
      <c r="A674" s="1">
        <f>HYPERLINK("https://lsnyc.legalserver.org/matter/dynamic-profile/view/1898603","19-1898603")</f>
        <v>0</v>
      </c>
      <c r="B674" t="s">
        <v>18</v>
      </c>
      <c r="C674" t="s">
        <v>45</v>
      </c>
      <c r="D674" t="s">
        <v>641</v>
      </c>
      <c r="E674" t="s">
        <v>2385</v>
      </c>
      <c r="F674" t="s">
        <v>2438</v>
      </c>
      <c r="G674" t="s">
        <v>2444</v>
      </c>
      <c r="I674" t="s">
        <v>2446</v>
      </c>
      <c r="J674" t="s">
        <v>2450</v>
      </c>
      <c r="K674" t="s">
        <v>2569</v>
      </c>
      <c r="M674" t="s">
        <v>2616</v>
      </c>
    </row>
    <row r="675" spans="1:14">
      <c r="A675" s="1">
        <f>HYPERLINK("https://lsnyc.legalserver.org/matter/dynamic-profile/view/1899649","19-1899649")</f>
        <v>0</v>
      </c>
      <c r="B675" t="s">
        <v>15</v>
      </c>
      <c r="C675" t="s">
        <v>32</v>
      </c>
      <c r="D675" t="s">
        <v>642</v>
      </c>
      <c r="E675" t="s">
        <v>2376</v>
      </c>
      <c r="F675" t="s">
        <v>2437</v>
      </c>
      <c r="H675" t="s">
        <v>2445</v>
      </c>
      <c r="J675" t="s">
        <v>2450</v>
      </c>
      <c r="K675" t="s">
        <v>2569</v>
      </c>
      <c r="L675" t="s">
        <v>2600</v>
      </c>
      <c r="M675" t="s">
        <v>2618</v>
      </c>
    </row>
    <row r="676" spans="1:14">
      <c r="A676" s="1">
        <f>HYPERLINK("https://lsnyc.legalserver.org/matter/dynamic-profile/view/1898430","19-1898430")</f>
        <v>0</v>
      </c>
      <c r="B676" t="s">
        <v>15</v>
      </c>
      <c r="C676" t="s">
        <v>30</v>
      </c>
      <c r="D676" t="s">
        <v>643</v>
      </c>
      <c r="E676" t="s">
        <v>2383</v>
      </c>
      <c r="F676" t="s">
        <v>2437</v>
      </c>
      <c r="J676" t="s">
        <v>2452</v>
      </c>
      <c r="K676" t="s">
        <v>2572</v>
      </c>
      <c r="L676" t="s">
        <v>2600</v>
      </c>
      <c r="M676" t="s">
        <v>2624</v>
      </c>
    </row>
    <row r="677" spans="1:14">
      <c r="A677" s="1">
        <f>HYPERLINK("https://lsnyc.legalserver.org/matter/dynamic-profile/view/1898455","19-1898455")</f>
        <v>0</v>
      </c>
      <c r="B677" t="s">
        <v>19</v>
      </c>
      <c r="C677" t="s">
        <v>48</v>
      </c>
      <c r="D677" t="s">
        <v>644</v>
      </c>
      <c r="E677" t="s">
        <v>2386</v>
      </c>
      <c r="F677" t="s">
        <v>2437</v>
      </c>
      <c r="J677" t="s">
        <v>2455</v>
      </c>
      <c r="K677" t="s">
        <v>2569</v>
      </c>
      <c r="L677" t="s">
        <v>2600</v>
      </c>
      <c r="M677" t="s">
        <v>2627</v>
      </c>
    </row>
    <row r="678" spans="1:14">
      <c r="A678" s="1">
        <f>HYPERLINK("https://lsnyc.legalserver.org/matter/dynamic-profile/view/1898487","19-1898487")</f>
        <v>0</v>
      </c>
      <c r="B678" t="s">
        <v>18</v>
      </c>
      <c r="C678" t="s">
        <v>27</v>
      </c>
      <c r="D678" t="s">
        <v>645</v>
      </c>
      <c r="E678" t="s">
        <v>2373</v>
      </c>
      <c r="F678" t="s">
        <v>2441</v>
      </c>
      <c r="J678" t="s">
        <v>2450</v>
      </c>
      <c r="K678" t="s">
        <v>2569</v>
      </c>
      <c r="M678" t="s">
        <v>2615</v>
      </c>
    </row>
    <row r="679" spans="1:14">
      <c r="A679" s="1">
        <f>HYPERLINK("https://lsnyc.legalserver.org/matter/dynamic-profile/view/1898497","19-1898497")</f>
        <v>0</v>
      </c>
      <c r="B679" t="s">
        <v>18</v>
      </c>
      <c r="C679" t="s">
        <v>27</v>
      </c>
      <c r="D679" t="s">
        <v>646</v>
      </c>
      <c r="E679" t="s">
        <v>2403</v>
      </c>
      <c r="F679" t="s">
        <v>2441</v>
      </c>
      <c r="J679" t="s">
        <v>2450</v>
      </c>
      <c r="K679" t="s">
        <v>2579</v>
      </c>
      <c r="M679" t="s">
        <v>2639</v>
      </c>
    </row>
    <row r="680" spans="1:14">
      <c r="A680" s="1">
        <f>HYPERLINK("https://lsnyc.legalserver.org/matter/dynamic-profile/view/1898498","19-1898498")</f>
        <v>0</v>
      </c>
      <c r="B680" t="s">
        <v>18</v>
      </c>
      <c r="C680" t="s">
        <v>27</v>
      </c>
      <c r="D680" t="s">
        <v>647</v>
      </c>
      <c r="E680" t="s">
        <v>2373</v>
      </c>
      <c r="F680" t="s">
        <v>2441</v>
      </c>
      <c r="J680" t="s">
        <v>2450</v>
      </c>
      <c r="K680" t="s">
        <v>2569</v>
      </c>
      <c r="M680" t="s">
        <v>2615</v>
      </c>
    </row>
    <row r="681" spans="1:14">
      <c r="A681" s="1">
        <f>HYPERLINK("https://lsnyc.legalserver.org/matter/dynamic-profile/view/1898500","19-1898500")</f>
        <v>0</v>
      </c>
      <c r="B681" t="s">
        <v>18</v>
      </c>
      <c r="C681" t="s">
        <v>27</v>
      </c>
      <c r="D681" t="s">
        <v>245</v>
      </c>
      <c r="E681" t="s">
        <v>2374</v>
      </c>
      <c r="F681" t="s">
        <v>2438</v>
      </c>
      <c r="J681" t="s">
        <v>2450</v>
      </c>
      <c r="K681" t="s">
        <v>2569</v>
      </c>
      <c r="M681" t="s">
        <v>2616</v>
      </c>
    </row>
    <row r="682" spans="1:14">
      <c r="A682" s="1">
        <f>HYPERLINK("https://lsnyc.legalserver.org/matter/dynamic-profile/view/1898501","19-1898501")</f>
        <v>0</v>
      </c>
      <c r="B682" t="s">
        <v>18</v>
      </c>
      <c r="C682" t="s">
        <v>27</v>
      </c>
      <c r="D682" t="s">
        <v>648</v>
      </c>
      <c r="E682" t="s">
        <v>2385</v>
      </c>
      <c r="F682" t="s">
        <v>2438</v>
      </c>
      <c r="J682" t="s">
        <v>2450</v>
      </c>
      <c r="K682" t="s">
        <v>2569</v>
      </c>
      <c r="L682" t="s">
        <v>2600</v>
      </c>
      <c r="M682" t="s">
        <v>2616</v>
      </c>
    </row>
    <row r="683" spans="1:14">
      <c r="A683" s="1">
        <f>HYPERLINK("https://lsnyc.legalserver.org/matter/dynamic-profile/view/1898195","19-1898195")</f>
        <v>0</v>
      </c>
      <c r="B683" t="s">
        <v>15</v>
      </c>
      <c r="C683" t="s">
        <v>32</v>
      </c>
      <c r="D683" t="s">
        <v>586</v>
      </c>
      <c r="E683" t="s">
        <v>2391</v>
      </c>
      <c r="F683" t="s">
        <v>2437</v>
      </c>
      <c r="J683" t="s">
        <v>2450</v>
      </c>
      <c r="K683" t="s">
        <v>2569</v>
      </c>
      <c r="M683" t="s">
        <v>2615</v>
      </c>
      <c r="N683" t="s">
        <v>2649</v>
      </c>
    </row>
    <row r="684" spans="1:14">
      <c r="A684" s="1">
        <f>HYPERLINK("https://lsnyc.legalserver.org/matter/dynamic-profile/view/1898240","19-1898240")</f>
        <v>0</v>
      </c>
      <c r="B684" t="s">
        <v>18</v>
      </c>
      <c r="C684" t="s">
        <v>53</v>
      </c>
      <c r="D684" t="s">
        <v>579</v>
      </c>
      <c r="E684" t="s">
        <v>2374</v>
      </c>
      <c r="F684" t="s">
        <v>2437</v>
      </c>
      <c r="J684" t="s">
        <v>2450</v>
      </c>
      <c r="K684" t="s">
        <v>2569</v>
      </c>
      <c r="L684" t="s">
        <v>2609</v>
      </c>
      <c r="M684" t="s">
        <v>2616</v>
      </c>
    </row>
    <row r="685" spans="1:14">
      <c r="A685" s="1">
        <f>HYPERLINK("https://lsnyc.legalserver.org/matter/dynamic-profile/view/1898254","19-1898254")</f>
        <v>0</v>
      </c>
      <c r="B685" t="s">
        <v>18</v>
      </c>
      <c r="C685" t="s">
        <v>53</v>
      </c>
      <c r="D685" t="s">
        <v>578</v>
      </c>
      <c r="E685" t="s">
        <v>2374</v>
      </c>
      <c r="F685" t="s">
        <v>2438</v>
      </c>
      <c r="J685" t="s">
        <v>2450</v>
      </c>
      <c r="K685" t="s">
        <v>2569</v>
      </c>
      <c r="L685" t="s">
        <v>2600</v>
      </c>
      <c r="M685" t="s">
        <v>2616</v>
      </c>
    </row>
    <row r="686" spans="1:14">
      <c r="A686" s="1">
        <f>HYPERLINK("https://lsnyc.legalserver.org/matter/dynamic-profile/view/1898085","19-1898085")</f>
        <v>0</v>
      </c>
      <c r="B686" t="s">
        <v>14</v>
      </c>
      <c r="C686" t="s">
        <v>20</v>
      </c>
      <c r="D686" t="s">
        <v>649</v>
      </c>
      <c r="E686" t="s">
        <v>2394</v>
      </c>
      <c r="F686" t="s">
        <v>2439</v>
      </c>
      <c r="I686" t="s">
        <v>2446</v>
      </c>
      <c r="J686" t="s">
        <v>2448</v>
      </c>
      <c r="K686" t="s">
        <v>2569</v>
      </c>
      <c r="L686" t="s">
        <v>2601</v>
      </c>
      <c r="M686" t="s">
        <v>2631</v>
      </c>
    </row>
    <row r="687" spans="1:14">
      <c r="A687" s="1">
        <f>HYPERLINK("https://lsnyc.legalserver.org/matter/dynamic-profile/view/1898075","19-1898075")</f>
        <v>0</v>
      </c>
      <c r="B687" t="s">
        <v>17</v>
      </c>
      <c r="C687" t="s">
        <v>60</v>
      </c>
      <c r="D687" t="s">
        <v>650</v>
      </c>
      <c r="E687" t="s">
        <v>2376</v>
      </c>
      <c r="F687" t="s">
        <v>2437</v>
      </c>
      <c r="I687" t="s">
        <v>2446</v>
      </c>
      <c r="J687" t="s">
        <v>2457</v>
      </c>
      <c r="K687" t="s">
        <v>2569</v>
      </c>
      <c r="L687" t="s">
        <v>2600</v>
      </c>
      <c r="M687" t="s">
        <v>2618</v>
      </c>
    </row>
    <row r="688" spans="1:14">
      <c r="A688" s="1">
        <f>HYPERLINK("https://lsnyc.legalserver.org/matter/dynamic-profile/view/1898079","19-1898079")</f>
        <v>0</v>
      </c>
      <c r="B688" t="s">
        <v>18</v>
      </c>
      <c r="C688" t="s">
        <v>35</v>
      </c>
      <c r="D688" t="s">
        <v>651</v>
      </c>
      <c r="E688" t="s">
        <v>2374</v>
      </c>
      <c r="F688" t="s">
        <v>2438</v>
      </c>
      <c r="J688" t="s">
        <v>2465</v>
      </c>
      <c r="K688" t="s">
        <v>2569</v>
      </c>
      <c r="L688" t="s">
        <v>2604</v>
      </c>
      <c r="M688" t="s">
        <v>2616</v>
      </c>
    </row>
    <row r="689" spans="1:14">
      <c r="A689" s="1">
        <f>HYPERLINK("https://lsnyc.legalserver.org/matter/dynamic-profile/view/1898083","19-1898083")</f>
        <v>0</v>
      </c>
      <c r="B689" t="s">
        <v>18</v>
      </c>
      <c r="C689" t="s">
        <v>35</v>
      </c>
      <c r="D689" t="s">
        <v>652</v>
      </c>
      <c r="E689" t="s">
        <v>2374</v>
      </c>
      <c r="F689" t="s">
        <v>2438</v>
      </c>
      <c r="J689" t="s">
        <v>2465</v>
      </c>
      <c r="K689" t="s">
        <v>2569</v>
      </c>
      <c r="L689" t="s">
        <v>2603</v>
      </c>
      <c r="M689" t="s">
        <v>2616</v>
      </c>
    </row>
    <row r="690" spans="1:14">
      <c r="A690" s="1">
        <f>HYPERLINK("https://lsnyc.legalserver.org/matter/dynamic-profile/view/1898122","19-1898122")</f>
        <v>0</v>
      </c>
      <c r="B690" t="s">
        <v>18</v>
      </c>
      <c r="C690" t="s">
        <v>27</v>
      </c>
      <c r="D690" t="s">
        <v>653</v>
      </c>
      <c r="E690" t="s">
        <v>2383</v>
      </c>
      <c r="F690" t="s">
        <v>2437</v>
      </c>
      <c r="J690" t="s">
        <v>2448</v>
      </c>
      <c r="K690" t="s">
        <v>2569</v>
      </c>
      <c r="M690" t="s">
        <v>2626</v>
      </c>
    </row>
    <row r="691" spans="1:14">
      <c r="A691" s="1">
        <f>HYPERLINK("https://lsnyc.legalserver.org/matter/dynamic-profile/view/1898131","19-1898131")</f>
        <v>0</v>
      </c>
      <c r="B691" t="s">
        <v>17</v>
      </c>
      <c r="C691" t="s">
        <v>56</v>
      </c>
      <c r="D691" t="s">
        <v>654</v>
      </c>
      <c r="E691" t="s">
        <v>2376</v>
      </c>
      <c r="F691" t="s">
        <v>2437</v>
      </c>
      <c r="I691" t="s">
        <v>2446</v>
      </c>
      <c r="J691" t="s">
        <v>2457</v>
      </c>
      <c r="K691" t="s">
        <v>2569</v>
      </c>
      <c r="M691" t="s">
        <v>2618</v>
      </c>
    </row>
    <row r="692" spans="1:14">
      <c r="A692" s="1">
        <f>HYPERLINK("https://lsnyc.legalserver.org/matter/dynamic-profile/view/1898132","19-1898132")</f>
        <v>0</v>
      </c>
      <c r="B692" t="s">
        <v>16</v>
      </c>
      <c r="C692" t="s">
        <v>23</v>
      </c>
      <c r="D692" t="s">
        <v>460</v>
      </c>
      <c r="E692" t="s">
        <v>2375</v>
      </c>
      <c r="F692" t="s">
        <v>2437</v>
      </c>
      <c r="I692" t="s">
        <v>2446</v>
      </c>
      <c r="J692" t="s">
        <v>2465</v>
      </c>
      <c r="K692" t="s">
        <v>2569</v>
      </c>
      <c r="M692" t="s">
        <v>2617</v>
      </c>
    </row>
    <row r="693" spans="1:14">
      <c r="A693" s="1">
        <f>HYPERLINK("https://lsnyc.legalserver.org/matter/dynamic-profile/view/1898135","19-1898135")</f>
        <v>0</v>
      </c>
      <c r="B693" t="s">
        <v>16</v>
      </c>
      <c r="C693" t="s">
        <v>23</v>
      </c>
      <c r="D693" t="s">
        <v>476</v>
      </c>
      <c r="E693" t="s">
        <v>2375</v>
      </c>
      <c r="F693" t="s">
        <v>2437</v>
      </c>
      <c r="I693" t="s">
        <v>2446</v>
      </c>
      <c r="J693" t="s">
        <v>2465</v>
      </c>
      <c r="K693" t="s">
        <v>2569</v>
      </c>
      <c r="M693" t="s">
        <v>2617</v>
      </c>
    </row>
    <row r="694" spans="1:14">
      <c r="A694" s="1">
        <f>HYPERLINK("https://lsnyc.legalserver.org/matter/dynamic-profile/view/1898137","19-1898137")</f>
        <v>0</v>
      </c>
      <c r="B694" t="s">
        <v>15</v>
      </c>
      <c r="C694" t="s">
        <v>37</v>
      </c>
      <c r="D694" t="s">
        <v>655</v>
      </c>
      <c r="E694" t="s">
        <v>2376</v>
      </c>
      <c r="F694" t="s">
        <v>2437</v>
      </c>
      <c r="I694" t="s">
        <v>2446</v>
      </c>
      <c r="J694" t="s">
        <v>2450</v>
      </c>
      <c r="K694" t="s">
        <v>2569</v>
      </c>
      <c r="L694" t="s">
        <v>2600</v>
      </c>
      <c r="M694" t="s">
        <v>2626</v>
      </c>
    </row>
    <row r="695" spans="1:14">
      <c r="A695" s="1">
        <f>HYPERLINK("https://lsnyc.legalserver.org/matter/dynamic-profile/view/1898152","19-1898152")</f>
        <v>0</v>
      </c>
      <c r="B695" t="s">
        <v>18</v>
      </c>
      <c r="C695" t="s">
        <v>34</v>
      </c>
      <c r="D695" t="s">
        <v>603</v>
      </c>
      <c r="E695" t="s">
        <v>2374</v>
      </c>
      <c r="F695" t="s">
        <v>2438</v>
      </c>
      <c r="I695" t="s">
        <v>2446</v>
      </c>
      <c r="J695" t="s">
        <v>2450</v>
      </c>
      <c r="K695" t="s">
        <v>2569</v>
      </c>
      <c r="M695" t="s">
        <v>2616</v>
      </c>
    </row>
    <row r="696" spans="1:14">
      <c r="A696" s="1">
        <f>HYPERLINK("https://lsnyc.legalserver.org/matter/dynamic-profile/view/1898156","19-1898156")</f>
        <v>0</v>
      </c>
      <c r="B696" t="s">
        <v>18</v>
      </c>
      <c r="C696" t="s">
        <v>34</v>
      </c>
      <c r="D696" t="s">
        <v>656</v>
      </c>
      <c r="E696" t="s">
        <v>2374</v>
      </c>
      <c r="F696" t="s">
        <v>2438</v>
      </c>
      <c r="J696" t="s">
        <v>2450</v>
      </c>
      <c r="K696" t="s">
        <v>2569</v>
      </c>
      <c r="M696" t="s">
        <v>2616</v>
      </c>
      <c r="N696" t="s">
        <v>2649</v>
      </c>
    </row>
    <row r="697" spans="1:14">
      <c r="A697" s="1">
        <f>HYPERLINK("https://lsnyc.legalserver.org/matter/dynamic-profile/view/1898162","19-1898162")</f>
        <v>0</v>
      </c>
      <c r="B697" t="s">
        <v>17</v>
      </c>
      <c r="C697" t="s">
        <v>42</v>
      </c>
      <c r="D697" t="s">
        <v>657</v>
      </c>
      <c r="E697" t="s">
        <v>2385</v>
      </c>
      <c r="F697" t="s">
        <v>2438</v>
      </c>
      <c r="I697" t="s">
        <v>2446</v>
      </c>
      <c r="J697" t="s">
        <v>2509</v>
      </c>
      <c r="K697" t="s">
        <v>2590</v>
      </c>
      <c r="M697" t="s">
        <v>2616</v>
      </c>
    </row>
    <row r="698" spans="1:14">
      <c r="A698" s="1">
        <f>HYPERLINK("https://lsnyc.legalserver.org/matter/dynamic-profile/view/1898170","19-1898170")</f>
        <v>0</v>
      </c>
      <c r="B698" t="s">
        <v>19</v>
      </c>
      <c r="C698" t="s">
        <v>54</v>
      </c>
      <c r="D698" t="s">
        <v>658</v>
      </c>
      <c r="E698" t="s">
        <v>2374</v>
      </c>
      <c r="F698" t="s">
        <v>2439</v>
      </c>
      <c r="I698" t="s">
        <v>2446</v>
      </c>
      <c r="J698" t="s">
        <v>2448</v>
      </c>
      <c r="K698" t="s">
        <v>2569</v>
      </c>
      <c r="L698" t="s">
        <v>2602</v>
      </c>
      <c r="M698" t="s">
        <v>2631</v>
      </c>
    </row>
    <row r="699" spans="1:14">
      <c r="A699" s="1">
        <f>HYPERLINK("https://lsnyc.legalserver.org/matter/dynamic-profile/view/1898181","19-1898181")</f>
        <v>0</v>
      </c>
      <c r="B699" t="s">
        <v>19</v>
      </c>
      <c r="C699" t="s">
        <v>54</v>
      </c>
      <c r="D699" t="s">
        <v>515</v>
      </c>
      <c r="E699" t="s">
        <v>2374</v>
      </c>
      <c r="F699" t="s">
        <v>2438</v>
      </c>
      <c r="I699" t="s">
        <v>2446</v>
      </c>
      <c r="J699" t="s">
        <v>2450</v>
      </c>
      <c r="K699" t="s">
        <v>2569</v>
      </c>
      <c r="L699" t="s">
        <v>2600</v>
      </c>
      <c r="M699" t="s">
        <v>2616</v>
      </c>
    </row>
    <row r="700" spans="1:14">
      <c r="A700" s="1">
        <f>HYPERLINK("https://lsnyc.legalserver.org/matter/dynamic-profile/view/1898183","19-1898183")</f>
        <v>0</v>
      </c>
      <c r="B700" t="s">
        <v>19</v>
      </c>
      <c r="C700" t="s">
        <v>54</v>
      </c>
      <c r="D700" t="s">
        <v>659</v>
      </c>
      <c r="E700" t="s">
        <v>2374</v>
      </c>
      <c r="F700" t="s">
        <v>2437</v>
      </c>
      <c r="I700" t="s">
        <v>2446</v>
      </c>
      <c r="J700" t="s">
        <v>2450</v>
      </c>
      <c r="K700" t="s">
        <v>2569</v>
      </c>
      <c r="L700" t="s">
        <v>2602</v>
      </c>
      <c r="M700" t="s">
        <v>2616</v>
      </c>
    </row>
    <row r="701" spans="1:14">
      <c r="A701" s="1">
        <f>HYPERLINK("https://lsnyc.legalserver.org/matter/dynamic-profile/view/1898187","19-1898187")</f>
        <v>0</v>
      </c>
      <c r="B701" t="s">
        <v>19</v>
      </c>
      <c r="C701" t="s">
        <v>54</v>
      </c>
      <c r="D701" t="s">
        <v>660</v>
      </c>
      <c r="E701" t="s">
        <v>2374</v>
      </c>
      <c r="F701" t="s">
        <v>2438</v>
      </c>
      <c r="I701" t="s">
        <v>2446</v>
      </c>
      <c r="J701" t="s">
        <v>2465</v>
      </c>
      <c r="K701" t="s">
        <v>2569</v>
      </c>
      <c r="L701" t="s">
        <v>2600</v>
      </c>
      <c r="M701" t="s">
        <v>2616</v>
      </c>
    </row>
    <row r="702" spans="1:14">
      <c r="A702" s="1">
        <f>HYPERLINK("https://lsnyc.legalserver.org/matter/dynamic-profile/view/1897997","19-1897997")</f>
        <v>0</v>
      </c>
      <c r="B702" t="s">
        <v>18</v>
      </c>
      <c r="C702" t="s">
        <v>27</v>
      </c>
      <c r="D702" t="s">
        <v>661</v>
      </c>
      <c r="E702" t="s">
        <v>2371</v>
      </c>
      <c r="F702" t="s">
        <v>2437</v>
      </c>
      <c r="I702" t="s">
        <v>2446</v>
      </c>
      <c r="J702" t="s">
        <v>2448</v>
      </c>
      <c r="K702" t="s">
        <v>2569</v>
      </c>
      <c r="L702" t="s">
        <v>2603</v>
      </c>
      <c r="M702" t="s">
        <v>2636</v>
      </c>
    </row>
    <row r="703" spans="1:14">
      <c r="A703" s="1">
        <f>HYPERLINK("https://lsnyc.legalserver.org/matter/dynamic-profile/view/1898012","19-1898012")</f>
        <v>0</v>
      </c>
      <c r="B703" t="s">
        <v>18</v>
      </c>
      <c r="C703" t="s">
        <v>35</v>
      </c>
      <c r="D703" t="s">
        <v>662</v>
      </c>
      <c r="E703" t="s">
        <v>2374</v>
      </c>
      <c r="F703" t="s">
        <v>2440</v>
      </c>
      <c r="I703" t="s">
        <v>2446</v>
      </c>
      <c r="J703" t="s">
        <v>2465</v>
      </c>
      <c r="K703" t="s">
        <v>2569</v>
      </c>
      <c r="L703" t="s">
        <v>2602</v>
      </c>
      <c r="M703" t="s">
        <v>2631</v>
      </c>
    </row>
    <row r="704" spans="1:14">
      <c r="A704" s="1">
        <f>HYPERLINK("https://lsnyc.legalserver.org/matter/dynamic-profile/view/1898053","19-1898053")</f>
        <v>0</v>
      </c>
      <c r="B704" t="s">
        <v>18</v>
      </c>
      <c r="C704" t="s">
        <v>35</v>
      </c>
      <c r="D704" t="s">
        <v>663</v>
      </c>
      <c r="E704" t="s">
        <v>2374</v>
      </c>
      <c r="F704" t="s">
        <v>2439</v>
      </c>
      <c r="I704" t="s">
        <v>2446</v>
      </c>
      <c r="J704" t="s">
        <v>2465</v>
      </c>
      <c r="K704" t="s">
        <v>2569</v>
      </c>
      <c r="L704" t="s">
        <v>2602</v>
      </c>
      <c r="M704" t="s">
        <v>2631</v>
      </c>
    </row>
    <row r="705" spans="1:13">
      <c r="A705" s="1">
        <f>HYPERLINK("https://lsnyc.legalserver.org/matter/dynamic-profile/view/1897872","19-1897872")</f>
        <v>0</v>
      </c>
      <c r="B705" t="s">
        <v>19</v>
      </c>
      <c r="C705" t="s">
        <v>48</v>
      </c>
      <c r="D705" t="s">
        <v>664</v>
      </c>
      <c r="E705" t="s">
        <v>2387</v>
      </c>
      <c r="F705" t="s">
        <v>2437</v>
      </c>
      <c r="I705" t="s">
        <v>2446</v>
      </c>
      <c r="J705" t="s">
        <v>2457</v>
      </c>
      <c r="K705" t="s">
        <v>2569</v>
      </c>
      <c r="M705" t="s">
        <v>2629</v>
      </c>
    </row>
    <row r="706" spans="1:13">
      <c r="A706" s="1">
        <f>HYPERLINK("https://lsnyc.legalserver.org/matter/dynamic-profile/view/1897856","19-1897856")</f>
        <v>0</v>
      </c>
      <c r="B706" t="s">
        <v>19</v>
      </c>
      <c r="C706" t="s">
        <v>50</v>
      </c>
      <c r="D706" t="s">
        <v>665</v>
      </c>
      <c r="E706" t="s">
        <v>2387</v>
      </c>
      <c r="F706" t="s">
        <v>2439</v>
      </c>
      <c r="I706" t="s">
        <v>2446</v>
      </c>
      <c r="J706" t="s">
        <v>2457</v>
      </c>
      <c r="K706" t="s">
        <v>2569</v>
      </c>
      <c r="L706" t="s">
        <v>2601</v>
      </c>
      <c r="M706" t="s">
        <v>2641</v>
      </c>
    </row>
    <row r="707" spans="1:13">
      <c r="A707" s="1">
        <f>HYPERLINK("https://lsnyc.legalserver.org/matter/dynamic-profile/view/1897860","19-1897860")</f>
        <v>0</v>
      </c>
      <c r="B707" t="s">
        <v>18</v>
      </c>
      <c r="C707" t="s">
        <v>35</v>
      </c>
      <c r="D707" t="s">
        <v>666</v>
      </c>
      <c r="E707" t="s">
        <v>2374</v>
      </c>
      <c r="F707" t="s">
        <v>2442</v>
      </c>
      <c r="I707" t="s">
        <v>2446</v>
      </c>
      <c r="J707" t="s">
        <v>2450</v>
      </c>
      <c r="K707" t="s">
        <v>2569</v>
      </c>
      <c r="L707" t="s">
        <v>2602</v>
      </c>
      <c r="M707" t="s">
        <v>2616</v>
      </c>
    </row>
    <row r="708" spans="1:13">
      <c r="A708" s="1">
        <f>HYPERLINK("https://lsnyc.legalserver.org/matter/dynamic-profile/view/1897867","19-1897867")</f>
        <v>0</v>
      </c>
      <c r="B708" t="s">
        <v>18</v>
      </c>
      <c r="C708" t="s">
        <v>35</v>
      </c>
      <c r="D708" t="s">
        <v>667</v>
      </c>
      <c r="E708" t="s">
        <v>2374</v>
      </c>
      <c r="F708" t="s">
        <v>2442</v>
      </c>
      <c r="I708" t="s">
        <v>2446</v>
      </c>
      <c r="J708" t="s">
        <v>2450</v>
      </c>
      <c r="K708" t="s">
        <v>2569</v>
      </c>
      <c r="L708" t="s">
        <v>2602</v>
      </c>
      <c r="M708" t="s">
        <v>2616</v>
      </c>
    </row>
    <row r="709" spans="1:13">
      <c r="A709" s="1">
        <f>HYPERLINK("https://lsnyc.legalserver.org/matter/dynamic-profile/view/1895805","19-1895805")</f>
        <v>0</v>
      </c>
      <c r="B709" t="s">
        <v>17</v>
      </c>
      <c r="C709" t="s">
        <v>36</v>
      </c>
      <c r="D709" t="s">
        <v>668</v>
      </c>
      <c r="E709" t="s">
        <v>2375</v>
      </c>
      <c r="F709" t="s">
        <v>2437</v>
      </c>
      <c r="J709" t="s">
        <v>2471</v>
      </c>
      <c r="K709" t="s">
        <v>2571</v>
      </c>
      <c r="L709" t="s">
        <v>2600</v>
      </c>
      <c r="M709" t="s">
        <v>2617</v>
      </c>
    </row>
    <row r="710" spans="1:13">
      <c r="A710" s="1">
        <f>HYPERLINK("https://lsnyc.legalserver.org/matter/dynamic-profile/view/1896047","19-1896047")</f>
        <v>0</v>
      </c>
      <c r="B710" t="s">
        <v>17</v>
      </c>
      <c r="C710" t="s">
        <v>42</v>
      </c>
      <c r="D710" t="s">
        <v>184</v>
      </c>
      <c r="E710" t="s">
        <v>2373</v>
      </c>
      <c r="F710" t="s">
        <v>2441</v>
      </c>
      <c r="J710" t="s">
        <v>2450</v>
      </c>
      <c r="K710" t="s">
        <v>2569</v>
      </c>
      <c r="M710" t="s">
        <v>2615</v>
      </c>
    </row>
    <row r="711" spans="1:13">
      <c r="A711" s="1">
        <f>HYPERLINK("https://lsnyc.legalserver.org/matter/dynamic-profile/view/1896050","19-1896050")</f>
        <v>0</v>
      </c>
      <c r="B711" t="s">
        <v>17</v>
      </c>
      <c r="C711" t="s">
        <v>42</v>
      </c>
      <c r="D711" t="s">
        <v>669</v>
      </c>
      <c r="E711" t="s">
        <v>2373</v>
      </c>
      <c r="F711" t="s">
        <v>2441</v>
      </c>
      <c r="J711" t="s">
        <v>2450</v>
      </c>
      <c r="K711" t="s">
        <v>2569</v>
      </c>
      <c r="M711" t="s">
        <v>2615</v>
      </c>
    </row>
    <row r="712" spans="1:13">
      <c r="A712" s="1">
        <f>HYPERLINK("https://lsnyc.legalserver.org/matter/dynamic-profile/view/1896965","19-1896965")</f>
        <v>0</v>
      </c>
      <c r="B712" t="s">
        <v>17</v>
      </c>
      <c r="C712" t="s">
        <v>36</v>
      </c>
      <c r="D712" t="s">
        <v>418</v>
      </c>
      <c r="E712" t="s">
        <v>2387</v>
      </c>
      <c r="F712" t="s">
        <v>2437</v>
      </c>
      <c r="G712" t="s">
        <v>2444</v>
      </c>
      <c r="I712" t="s">
        <v>2446</v>
      </c>
      <c r="J712" t="s">
        <v>2457</v>
      </c>
      <c r="K712" t="s">
        <v>2569</v>
      </c>
      <c r="M712" t="s">
        <v>2629</v>
      </c>
    </row>
    <row r="713" spans="1:13">
      <c r="A713" s="1">
        <f>HYPERLINK("https://lsnyc.legalserver.org/matter/dynamic-profile/view/1897929","19-1897929")</f>
        <v>0</v>
      </c>
      <c r="B713" t="s">
        <v>14</v>
      </c>
      <c r="C713" t="s">
        <v>20</v>
      </c>
      <c r="D713" t="s">
        <v>670</v>
      </c>
      <c r="E713" t="s">
        <v>2394</v>
      </c>
      <c r="F713" t="s">
        <v>2437</v>
      </c>
      <c r="J713" t="s">
        <v>2448</v>
      </c>
      <c r="K713" t="s">
        <v>2569</v>
      </c>
      <c r="M713" t="s">
        <v>2627</v>
      </c>
    </row>
    <row r="714" spans="1:13">
      <c r="A714" s="1">
        <f>HYPERLINK("https://lsnyc.legalserver.org/matter/dynamic-profile/view/1897934","19-1897934")</f>
        <v>0</v>
      </c>
      <c r="B714" t="s">
        <v>16</v>
      </c>
      <c r="C714" t="s">
        <v>23</v>
      </c>
      <c r="D714" t="s">
        <v>671</v>
      </c>
      <c r="E714" t="s">
        <v>2385</v>
      </c>
      <c r="F714" t="s">
        <v>2437</v>
      </c>
      <c r="I714" t="s">
        <v>2446</v>
      </c>
      <c r="J714" t="s">
        <v>2465</v>
      </c>
      <c r="K714" t="s">
        <v>2569</v>
      </c>
      <c r="M714" t="s">
        <v>2616</v>
      </c>
    </row>
    <row r="715" spans="1:13">
      <c r="A715" s="1">
        <f>HYPERLINK("https://lsnyc.legalserver.org/matter/dynamic-profile/view/1897935","19-1897935")</f>
        <v>0</v>
      </c>
      <c r="B715" t="s">
        <v>16</v>
      </c>
      <c r="C715" t="s">
        <v>23</v>
      </c>
      <c r="D715" t="s">
        <v>672</v>
      </c>
      <c r="E715" t="s">
        <v>2376</v>
      </c>
      <c r="F715" t="s">
        <v>2437</v>
      </c>
      <c r="I715" t="s">
        <v>2446</v>
      </c>
      <c r="J715" t="s">
        <v>2449</v>
      </c>
      <c r="M715" t="s">
        <v>2618</v>
      </c>
    </row>
    <row r="716" spans="1:13">
      <c r="A716" s="1">
        <f>HYPERLINK("https://lsnyc.legalserver.org/matter/dynamic-profile/view/1897937","19-1897937")</f>
        <v>0</v>
      </c>
      <c r="B716" t="s">
        <v>16</v>
      </c>
      <c r="C716" t="s">
        <v>23</v>
      </c>
      <c r="D716" t="s">
        <v>637</v>
      </c>
      <c r="E716" t="s">
        <v>2412</v>
      </c>
      <c r="F716" t="s">
        <v>2437</v>
      </c>
      <c r="G716" t="s">
        <v>2444</v>
      </c>
      <c r="I716" t="s">
        <v>2446</v>
      </c>
      <c r="J716" t="s">
        <v>2449</v>
      </c>
      <c r="K716" t="s">
        <v>2569</v>
      </c>
      <c r="M716" t="s">
        <v>2616</v>
      </c>
    </row>
    <row r="717" spans="1:13">
      <c r="A717" s="1">
        <f>HYPERLINK("https://lsnyc.legalserver.org/matter/dynamic-profile/view/1898106","19-1898106")</f>
        <v>0</v>
      </c>
      <c r="B717" t="s">
        <v>15</v>
      </c>
      <c r="C717" t="s">
        <v>30</v>
      </c>
      <c r="D717" t="s">
        <v>425</v>
      </c>
      <c r="E717" t="s">
        <v>2397</v>
      </c>
      <c r="F717" t="s">
        <v>2438</v>
      </c>
      <c r="J717" t="s">
        <v>2448</v>
      </c>
      <c r="K717" t="s">
        <v>2569</v>
      </c>
      <c r="M717" t="s">
        <v>2616</v>
      </c>
    </row>
    <row r="718" spans="1:13">
      <c r="A718" s="1">
        <f>HYPERLINK("https://lsnyc.legalserver.org/matter/dynamic-profile/view/1897233","19-1897233")</f>
        <v>0</v>
      </c>
      <c r="B718" t="s">
        <v>16</v>
      </c>
      <c r="C718" t="s">
        <v>23</v>
      </c>
      <c r="D718" t="s">
        <v>673</v>
      </c>
      <c r="E718" t="s">
        <v>2385</v>
      </c>
      <c r="F718" t="s">
        <v>2439</v>
      </c>
      <c r="I718" t="s">
        <v>2446</v>
      </c>
      <c r="J718" t="s">
        <v>2465</v>
      </c>
      <c r="K718" t="s">
        <v>2569</v>
      </c>
      <c r="L718" t="s">
        <v>2601</v>
      </c>
      <c r="M718" t="s">
        <v>2631</v>
      </c>
    </row>
    <row r="719" spans="1:13">
      <c r="A719" s="1">
        <f>HYPERLINK("https://lsnyc.legalserver.org/matter/dynamic-profile/view/1897735","19-1897735")</f>
        <v>0</v>
      </c>
      <c r="B719" t="s">
        <v>16</v>
      </c>
      <c r="C719" t="s">
        <v>23</v>
      </c>
      <c r="D719" t="s">
        <v>633</v>
      </c>
      <c r="E719" t="s">
        <v>2374</v>
      </c>
      <c r="F719" t="s">
        <v>2439</v>
      </c>
      <c r="I719" t="s">
        <v>2446</v>
      </c>
      <c r="J719" t="s">
        <v>2465</v>
      </c>
      <c r="K719" t="s">
        <v>2569</v>
      </c>
      <c r="L719" t="s">
        <v>2601</v>
      </c>
      <c r="M719" t="s">
        <v>2631</v>
      </c>
    </row>
    <row r="720" spans="1:13">
      <c r="A720" s="1">
        <f>HYPERLINK("https://lsnyc.legalserver.org/matter/dynamic-profile/view/1897708","19-1897708")</f>
        <v>0</v>
      </c>
      <c r="B720" t="s">
        <v>14</v>
      </c>
      <c r="C720" t="s">
        <v>20</v>
      </c>
      <c r="D720" t="s">
        <v>674</v>
      </c>
      <c r="E720" t="s">
        <v>2408</v>
      </c>
      <c r="F720" t="s">
        <v>2437</v>
      </c>
      <c r="I720" t="s">
        <v>2446</v>
      </c>
      <c r="J720" t="s">
        <v>2454</v>
      </c>
      <c r="K720" t="s">
        <v>2572</v>
      </c>
      <c r="L720" t="s">
        <v>2600</v>
      </c>
      <c r="M720" t="s">
        <v>2619</v>
      </c>
    </row>
    <row r="721" spans="1:14">
      <c r="A721" s="1">
        <f>HYPERLINK("https://lsnyc.legalserver.org/matter/dynamic-profile/view/1897680","19-1897680")</f>
        <v>0</v>
      </c>
      <c r="B721" t="s">
        <v>19</v>
      </c>
      <c r="C721" t="s">
        <v>58</v>
      </c>
      <c r="D721" t="s">
        <v>675</v>
      </c>
      <c r="E721" t="s">
        <v>2376</v>
      </c>
      <c r="F721" t="s">
        <v>2437</v>
      </c>
      <c r="I721" t="s">
        <v>2446</v>
      </c>
      <c r="J721" t="s">
        <v>2457</v>
      </c>
      <c r="K721" t="s">
        <v>2569</v>
      </c>
      <c r="L721" t="s">
        <v>2600</v>
      </c>
      <c r="M721" t="s">
        <v>2631</v>
      </c>
    </row>
    <row r="722" spans="1:14">
      <c r="A722" s="1">
        <f>HYPERLINK("https://lsnyc.legalserver.org/matter/dynamic-profile/view/1897548","19-1897548")</f>
        <v>0</v>
      </c>
      <c r="B722" t="s">
        <v>16</v>
      </c>
      <c r="C722" t="s">
        <v>23</v>
      </c>
      <c r="D722" t="s">
        <v>676</v>
      </c>
      <c r="E722" t="s">
        <v>2376</v>
      </c>
      <c r="F722" t="s">
        <v>2437</v>
      </c>
      <c r="J722" t="s">
        <v>2471</v>
      </c>
      <c r="K722" t="s">
        <v>2571</v>
      </c>
      <c r="M722" t="s">
        <v>2618</v>
      </c>
    </row>
    <row r="723" spans="1:14">
      <c r="A723" s="1">
        <f>HYPERLINK("https://lsnyc.legalserver.org/matter/dynamic-profile/view/1897565","19-1897565")</f>
        <v>0</v>
      </c>
      <c r="B723" t="s">
        <v>16</v>
      </c>
      <c r="C723" t="s">
        <v>23</v>
      </c>
      <c r="D723" t="s">
        <v>677</v>
      </c>
      <c r="E723" t="s">
        <v>2376</v>
      </c>
      <c r="F723" t="s">
        <v>2437</v>
      </c>
      <c r="I723" t="s">
        <v>2446</v>
      </c>
      <c r="J723" t="s">
        <v>2452</v>
      </c>
      <c r="K723" t="s">
        <v>2572</v>
      </c>
      <c r="M723" t="s">
        <v>2618</v>
      </c>
    </row>
    <row r="724" spans="1:14">
      <c r="A724" s="1">
        <f>HYPERLINK("https://lsnyc.legalserver.org/matter/dynamic-profile/view/1897607","19-1897607")</f>
        <v>0</v>
      </c>
      <c r="B724" t="s">
        <v>16</v>
      </c>
      <c r="C724" t="s">
        <v>23</v>
      </c>
      <c r="D724" t="s">
        <v>671</v>
      </c>
      <c r="E724" t="s">
        <v>2376</v>
      </c>
      <c r="F724" t="s">
        <v>2437</v>
      </c>
      <c r="I724" t="s">
        <v>2446</v>
      </c>
      <c r="J724" t="s">
        <v>2465</v>
      </c>
      <c r="K724" t="s">
        <v>2569</v>
      </c>
      <c r="M724" t="s">
        <v>2618</v>
      </c>
    </row>
    <row r="725" spans="1:14">
      <c r="A725" s="1">
        <f>HYPERLINK("https://lsnyc.legalserver.org/matter/dynamic-profile/view/1897624","19-1897624")</f>
        <v>0</v>
      </c>
      <c r="B725" t="s">
        <v>19</v>
      </c>
      <c r="C725" t="s">
        <v>47</v>
      </c>
      <c r="D725" t="s">
        <v>433</v>
      </c>
      <c r="E725" t="s">
        <v>2391</v>
      </c>
      <c r="F725" t="s">
        <v>2437</v>
      </c>
      <c r="I725" t="s">
        <v>2446</v>
      </c>
      <c r="J725" t="s">
        <v>2452</v>
      </c>
      <c r="M725" t="s">
        <v>2615</v>
      </c>
      <c r="N725" t="s">
        <v>2648</v>
      </c>
    </row>
    <row r="726" spans="1:14">
      <c r="A726" s="1">
        <f>HYPERLINK("https://lsnyc.legalserver.org/matter/dynamic-profile/view/1897662","19-1897662")</f>
        <v>0</v>
      </c>
      <c r="B726" t="s">
        <v>14</v>
      </c>
      <c r="C726" t="s">
        <v>20</v>
      </c>
      <c r="D726" t="s">
        <v>670</v>
      </c>
      <c r="E726" t="s">
        <v>2394</v>
      </c>
      <c r="F726" t="s">
        <v>2437</v>
      </c>
      <c r="I726" t="s">
        <v>2446</v>
      </c>
      <c r="J726" t="s">
        <v>2448</v>
      </c>
      <c r="K726" t="s">
        <v>2569</v>
      </c>
      <c r="M726" t="s">
        <v>2627</v>
      </c>
    </row>
    <row r="727" spans="1:14">
      <c r="A727" s="1">
        <f>HYPERLINK("https://lsnyc.legalserver.org/matter/dynamic-profile/view/1897490","19-1897490")</f>
        <v>0</v>
      </c>
      <c r="B727" t="s">
        <v>18</v>
      </c>
      <c r="C727" t="s">
        <v>35</v>
      </c>
      <c r="D727" t="s">
        <v>678</v>
      </c>
      <c r="E727" t="s">
        <v>2376</v>
      </c>
      <c r="F727" t="s">
        <v>2437</v>
      </c>
      <c r="I727" t="s">
        <v>2446</v>
      </c>
      <c r="J727" t="s">
        <v>2448</v>
      </c>
      <c r="K727" t="s">
        <v>2569</v>
      </c>
      <c r="L727" t="s">
        <v>2603</v>
      </c>
      <c r="M727" t="s">
        <v>2618</v>
      </c>
    </row>
    <row r="728" spans="1:14">
      <c r="A728" s="1">
        <f>HYPERLINK("https://lsnyc.legalserver.org/matter/dynamic-profile/view/1897524","19-1897524")</f>
        <v>0</v>
      </c>
      <c r="B728" t="s">
        <v>16</v>
      </c>
      <c r="C728" t="s">
        <v>23</v>
      </c>
      <c r="D728" t="s">
        <v>679</v>
      </c>
      <c r="E728" t="s">
        <v>2385</v>
      </c>
      <c r="F728" t="s">
        <v>2438</v>
      </c>
      <c r="I728" t="s">
        <v>2446</v>
      </c>
      <c r="J728" t="s">
        <v>2450</v>
      </c>
      <c r="K728" t="s">
        <v>2569</v>
      </c>
      <c r="M728" t="s">
        <v>2616</v>
      </c>
    </row>
    <row r="729" spans="1:14">
      <c r="A729" s="1">
        <f>HYPERLINK("https://lsnyc.legalserver.org/matter/dynamic-profile/view/1897288","19-1897288")</f>
        <v>0</v>
      </c>
      <c r="B729" t="s">
        <v>16</v>
      </c>
      <c r="C729" t="s">
        <v>23</v>
      </c>
      <c r="D729" t="s">
        <v>680</v>
      </c>
      <c r="E729" t="s">
        <v>2390</v>
      </c>
      <c r="F729" t="s">
        <v>2437</v>
      </c>
      <c r="I729" t="s">
        <v>2446</v>
      </c>
      <c r="J729" t="s">
        <v>2448</v>
      </c>
      <c r="K729" t="s">
        <v>2569</v>
      </c>
      <c r="M729" t="s">
        <v>2619</v>
      </c>
    </row>
    <row r="730" spans="1:14">
      <c r="A730" s="1">
        <f>HYPERLINK("https://lsnyc.legalserver.org/matter/dynamic-profile/view/1897300","19-1897300")</f>
        <v>0</v>
      </c>
      <c r="B730" t="s">
        <v>16</v>
      </c>
      <c r="C730" t="s">
        <v>23</v>
      </c>
      <c r="D730" t="s">
        <v>681</v>
      </c>
      <c r="E730" t="s">
        <v>2390</v>
      </c>
      <c r="F730" t="s">
        <v>2437</v>
      </c>
      <c r="I730" t="s">
        <v>2446</v>
      </c>
      <c r="J730" t="s">
        <v>2467</v>
      </c>
      <c r="K730" t="s">
        <v>2572</v>
      </c>
      <c r="M730" t="s">
        <v>2619</v>
      </c>
    </row>
    <row r="731" spans="1:14">
      <c r="A731" s="1">
        <f>HYPERLINK("https://lsnyc.legalserver.org/matter/dynamic-profile/view/1897374","19-1897374")</f>
        <v>0</v>
      </c>
      <c r="B731" t="s">
        <v>14</v>
      </c>
      <c r="C731" t="s">
        <v>20</v>
      </c>
      <c r="D731" t="s">
        <v>682</v>
      </c>
      <c r="E731" t="s">
        <v>2391</v>
      </c>
      <c r="F731" t="s">
        <v>2437</v>
      </c>
      <c r="I731" t="s">
        <v>2446</v>
      </c>
      <c r="J731" t="s">
        <v>2450</v>
      </c>
      <c r="K731" t="s">
        <v>2569</v>
      </c>
      <c r="L731" t="s">
        <v>2600</v>
      </c>
      <c r="M731" t="s">
        <v>2615</v>
      </c>
    </row>
    <row r="732" spans="1:14">
      <c r="A732" s="1">
        <f>HYPERLINK("https://lsnyc.legalserver.org/matter/dynamic-profile/view/1897385","19-1897385")</f>
        <v>0</v>
      </c>
      <c r="B732" t="s">
        <v>14</v>
      </c>
      <c r="C732" t="s">
        <v>20</v>
      </c>
      <c r="D732" t="s">
        <v>683</v>
      </c>
      <c r="E732" t="s">
        <v>2391</v>
      </c>
      <c r="F732" t="s">
        <v>2437</v>
      </c>
      <c r="I732" t="s">
        <v>2446</v>
      </c>
      <c r="J732" t="s">
        <v>2450</v>
      </c>
      <c r="K732" t="s">
        <v>2569</v>
      </c>
      <c r="L732" t="s">
        <v>2605</v>
      </c>
      <c r="M732" t="s">
        <v>2615</v>
      </c>
    </row>
    <row r="733" spans="1:14">
      <c r="A733" s="1">
        <f>HYPERLINK("https://lsnyc.legalserver.org/matter/dynamic-profile/view/1897215","19-1897215")</f>
        <v>0</v>
      </c>
      <c r="B733" t="s">
        <v>18</v>
      </c>
      <c r="C733" t="s">
        <v>35</v>
      </c>
      <c r="D733" t="s">
        <v>684</v>
      </c>
      <c r="E733" t="s">
        <v>2381</v>
      </c>
      <c r="F733" t="s">
        <v>2439</v>
      </c>
      <c r="I733" t="s">
        <v>2446</v>
      </c>
      <c r="J733" t="s">
        <v>2467</v>
      </c>
      <c r="K733" t="s">
        <v>2572</v>
      </c>
      <c r="L733" t="s">
        <v>2602</v>
      </c>
      <c r="M733" t="s">
        <v>2631</v>
      </c>
    </row>
    <row r="734" spans="1:14">
      <c r="A734" s="1">
        <f>HYPERLINK("https://lsnyc.legalserver.org/matter/dynamic-profile/view/1897139","19-1897139")</f>
        <v>0</v>
      </c>
      <c r="B734" t="s">
        <v>18</v>
      </c>
      <c r="C734" t="s">
        <v>35</v>
      </c>
      <c r="D734" t="s">
        <v>685</v>
      </c>
      <c r="E734" t="s">
        <v>2374</v>
      </c>
      <c r="F734" t="s">
        <v>2442</v>
      </c>
      <c r="I734" t="s">
        <v>2446</v>
      </c>
      <c r="J734" t="s">
        <v>2450</v>
      </c>
      <c r="K734" t="s">
        <v>2569</v>
      </c>
      <c r="L734" t="s">
        <v>2602</v>
      </c>
      <c r="M734" t="s">
        <v>2616</v>
      </c>
    </row>
    <row r="735" spans="1:14">
      <c r="A735" s="1">
        <f>HYPERLINK("https://lsnyc.legalserver.org/matter/dynamic-profile/view/1897203","19-1897203")</f>
        <v>0</v>
      </c>
      <c r="B735" t="s">
        <v>18</v>
      </c>
      <c r="C735" t="s">
        <v>27</v>
      </c>
      <c r="D735" t="s">
        <v>437</v>
      </c>
      <c r="E735" t="s">
        <v>2394</v>
      </c>
      <c r="F735" t="s">
        <v>2439</v>
      </c>
      <c r="J735" t="s">
        <v>2505</v>
      </c>
      <c r="K735" t="s">
        <v>2572</v>
      </c>
      <c r="L735" t="s">
        <v>2602</v>
      </c>
      <c r="M735" t="s">
        <v>2631</v>
      </c>
    </row>
    <row r="736" spans="1:14">
      <c r="A736" s="1">
        <f>HYPERLINK("https://lsnyc.legalserver.org/matter/dynamic-profile/view/1897213","19-1897213")</f>
        <v>0</v>
      </c>
      <c r="B736" t="s">
        <v>16</v>
      </c>
      <c r="C736" t="s">
        <v>46</v>
      </c>
      <c r="D736" t="s">
        <v>686</v>
      </c>
      <c r="E736" t="s">
        <v>2390</v>
      </c>
      <c r="F736" t="s">
        <v>2437</v>
      </c>
      <c r="I736" t="s">
        <v>2446</v>
      </c>
      <c r="J736" t="s">
        <v>2448</v>
      </c>
      <c r="K736" t="s">
        <v>2569</v>
      </c>
      <c r="M736" t="s">
        <v>2619</v>
      </c>
    </row>
    <row r="737" spans="1:14">
      <c r="A737" s="1">
        <f>HYPERLINK("https://lsnyc.legalserver.org/matter/dynamic-profile/view/1897222","19-1897222")</f>
        <v>0</v>
      </c>
      <c r="B737" t="s">
        <v>15</v>
      </c>
      <c r="C737" t="s">
        <v>39</v>
      </c>
      <c r="D737" t="s">
        <v>687</v>
      </c>
      <c r="E737" t="s">
        <v>2374</v>
      </c>
      <c r="F737" t="s">
        <v>2438</v>
      </c>
      <c r="J737" t="s">
        <v>2449</v>
      </c>
      <c r="K737" t="s">
        <v>2569</v>
      </c>
      <c r="M737" t="s">
        <v>2616</v>
      </c>
    </row>
    <row r="738" spans="1:14">
      <c r="A738" s="1">
        <f>HYPERLINK("https://lsnyc.legalserver.org/matter/dynamic-profile/view/1897242","19-1897242")</f>
        <v>0</v>
      </c>
      <c r="B738" t="s">
        <v>16</v>
      </c>
      <c r="C738" t="s">
        <v>23</v>
      </c>
      <c r="D738" t="s">
        <v>688</v>
      </c>
      <c r="E738" t="s">
        <v>2385</v>
      </c>
      <c r="F738" t="s">
        <v>2437</v>
      </c>
      <c r="I738" t="s">
        <v>2446</v>
      </c>
      <c r="J738" t="s">
        <v>2449</v>
      </c>
      <c r="K738" t="s">
        <v>2569</v>
      </c>
      <c r="M738" t="s">
        <v>2616</v>
      </c>
    </row>
    <row r="739" spans="1:14">
      <c r="A739" s="1">
        <f>HYPERLINK("https://lsnyc.legalserver.org/matter/dynamic-profile/view/1897243","19-1897243")</f>
        <v>0</v>
      </c>
      <c r="B739" t="s">
        <v>16</v>
      </c>
      <c r="C739" t="s">
        <v>23</v>
      </c>
      <c r="D739" t="s">
        <v>689</v>
      </c>
      <c r="E739" t="s">
        <v>2374</v>
      </c>
      <c r="F739" t="s">
        <v>2437</v>
      </c>
      <c r="I739" t="s">
        <v>2446</v>
      </c>
      <c r="J739" t="s">
        <v>2449</v>
      </c>
      <c r="K739" t="s">
        <v>2569</v>
      </c>
      <c r="M739" t="s">
        <v>2616</v>
      </c>
    </row>
    <row r="740" spans="1:14">
      <c r="A740" s="1">
        <f>HYPERLINK("https://lsnyc.legalserver.org/matter/dynamic-profile/view/1897101","19-1897101")</f>
        <v>0</v>
      </c>
      <c r="B740" t="s">
        <v>18</v>
      </c>
      <c r="C740" t="s">
        <v>27</v>
      </c>
      <c r="D740" t="s">
        <v>690</v>
      </c>
      <c r="E740" t="s">
        <v>2380</v>
      </c>
      <c r="F740" t="s">
        <v>2437</v>
      </c>
      <c r="J740" t="s">
        <v>2461</v>
      </c>
      <c r="K740" t="s">
        <v>2591</v>
      </c>
      <c r="L740" t="s">
        <v>2600</v>
      </c>
      <c r="M740" t="s">
        <v>2621</v>
      </c>
    </row>
    <row r="741" spans="1:14">
      <c r="A741" s="1">
        <f>HYPERLINK("https://lsnyc.legalserver.org/matter/dynamic-profile/view/1896943","19-1896943")</f>
        <v>0</v>
      </c>
      <c r="B741" t="s">
        <v>18</v>
      </c>
      <c r="C741" t="s">
        <v>35</v>
      </c>
      <c r="D741" t="s">
        <v>409</v>
      </c>
      <c r="E741" t="s">
        <v>2376</v>
      </c>
      <c r="F741" t="s">
        <v>2437</v>
      </c>
      <c r="I741" t="s">
        <v>2446</v>
      </c>
      <c r="J741" t="s">
        <v>2499</v>
      </c>
      <c r="K741" t="s">
        <v>2572</v>
      </c>
      <c r="L741" t="s">
        <v>2603</v>
      </c>
      <c r="M741" t="s">
        <v>2618</v>
      </c>
    </row>
    <row r="742" spans="1:14">
      <c r="A742" s="1">
        <f>HYPERLINK("https://lsnyc.legalserver.org/matter/dynamic-profile/view/1896873","19-1896873")</f>
        <v>0</v>
      </c>
      <c r="B742" t="s">
        <v>15</v>
      </c>
      <c r="C742" t="s">
        <v>32</v>
      </c>
      <c r="D742" t="s">
        <v>691</v>
      </c>
      <c r="E742" t="s">
        <v>2383</v>
      </c>
      <c r="F742" t="s">
        <v>2439</v>
      </c>
      <c r="I742" t="s">
        <v>2446</v>
      </c>
      <c r="J742" t="s">
        <v>2447</v>
      </c>
      <c r="K742" t="s">
        <v>2569</v>
      </c>
      <c r="L742" t="s">
        <v>2602</v>
      </c>
      <c r="M742" t="s">
        <v>2631</v>
      </c>
    </row>
    <row r="743" spans="1:14">
      <c r="A743" s="1">
        <f>HYPERLINK("https://lsnyc.legalserver.org/matter/dynamic-profile/view/1896918","19-1896918")</f>
        <v>0</v>
      </c>
      <c r="B743" t="s">
        <v>14</v>
      </c>
      <c r="C743" t="s">
        <v>21</v>
      </c>
      <c r="D743" t="s">
        <v>692</v>
      </c>
      <c r="E743" t="s">
        <v>2371</v>
      </c>
      <c r="F743" t="s">
        <v>2437</v>
      </c>
      <c r="I743" t="s">
        <v>2446</v>
      </c>
      <c r="J743" t="s">
        <v>2450</v>
      </c>
      <c r="K743" t="s">
        <v>2569</v>
      </c>
      <c r="L743" t="s">
        <v>2600</v>
      </c>
      <c r="M743" t="s">
        <v>2626</v>
      </c>
      <c r="N743" t="s">
        <v>2648</v>
      </c>
    </row>
    <row r="744" spans="1:14">
      <c r="A744" s="1">
        <f>HYPERLINK("https://lsnyc.legalserver.org/matter/dynamic-profile/view/1896930","19-1896930")</f>
        <v>0</v>
      </c>
      <c r="B744" t="s">
        <v>16</v>
      </c>
      <c r="C744" t="s">
        <v>46</v>
      </c>
      <c r="D744" t="s">
        <v>693</v>
      </c>
      <c r="E744" t="s">
        <v>2390</v>
      </c>
      <c r="F744" t="s">
        <v>2437</v>
      </c>
      <c r="J744" t="s">
        <v>2448</v>
      </c>
      <c r="K744" t="s">
        <v>2569</v>
      </c>
      <c r="M744" t="s">
        <v>2619</v>
      </c>
    </row>
    <row r="745" spans="1:14">
      <c r="A745" s="1">
        <f>HYPERLINK("https://lsnyc.legalserver.org/matter/dynamic-profile/view/1896961","19-1896961")</f>
        <v>0</v>
      </c>
      <c r="B745" t="s">
        <v>15</v>
      </c>
      <c r="C745" t="s">
        <v>39</v>
      </c>
      <c r="D745" t="s">
        <v>694</v>
      </c>
      <c r="E745" t="s">
        <v>2385</v>
      </c>
      <c r="F745" t="s">
        <v>2438</v>
      </c>
      <c r="J745" t="s">
        <v>2449</v>
      </c>
      <c r="K745" t="s">
        <v>2569</v>
      </c>
      <c r="M745" t="s">
        <v>2616</v>
      </c>
    </row>
    <row r="746" spans="1:14">
      <c r="A746" s="1">
        <f>HYPERLINK("https://lsnyc.legalserver.org/matter/dynamic-profile/view/1896962","19-1896962")</f>
        <v>0</v>
      </c>
      <c r="B746" t="s">
        <v>15</v>
      </c>
      <c r="C746" t="s">
        <v>39</v>
      </c>
      <c r="D746" t="s">
        <v>695</v>
      </c>
      <c r="E746" t="s">
        <v>2375</v>
      </c>
      <c r="F746" t="s">
        <v>2438</v>
      </c>
      <c r="J746" t="s">
        <v>2449</v>
      </c>
      <c r="K746" t="s">
        <v>2569</v>
      </c>
      <c r="M746" t="s">
        <v>2617</v>
      </c>
    </row>
    <row r="747" spans="1:14">
      <c r="A747" s="1">
        <f>HYPERLINK("https://lsnyc.legalserver.org/matter/dynamic-profile/view/1896775","19-1896775")</f>
        <v>0</v>
      </c>
      <c r="B747" t="s">
        <v>17</v>
      </c>
      <c r="C747" t="s">
        <v>25</v>
      </c>
      <c r="D747" t="s">
        <v>696</v>
      </c>
      <c r="E747" t="s">
        <v>2375</v>
      </c>
      <c r="F747" t="s">
        <v>2439</v>
      </c>
      <c r="I747" t="s">
        <v>2446</v>
      </c>
      <c r="J747" t="s">
        <v>2450</v>
      </c>
      <c r="K747" t="s">
        <v>2569</v>
      </c>
      <c r="L747" t="s">
        <v>2601</v>
      </c>
      <c r="M747" t="s">
        <v>2631</v>
      </c>
    </row>
    <row r="748" spans="1:14">
      <c r="A748" s="1">
        <f>HYPERLINK("https://lsnyc.legalserver.org/matter/dynamic-profile/view/1896737","19-1896737")</f>
        <v>0</v>
      </c>
      <c r="B748" t="s">
        <v>16</v>
      </c>
      <c r="C748" t="s">
        <v>23</v>
      </c>
      <c r="D748" t="s">
        <v>697</v>
      </c>
      <c r="E748" t="s">
        <v>2390</v>
      </c>
      <c r="F748" t="s">
        <v>2437</v>
      </c>
      <c r="I748" t="s">
        <v>2446</v>
      </c>
      <c r="J748" t="s">
        <v>2448</v>
      </c>
      <c r="K748" t="s">
        <v>2569</v>
      </c>
      <c r="M748" t="s">
        <v>2619</v>
      </c>
    </row>
    <row r="749" spans="1:14">
      <c r="A749" s="1">
        <f>HYPERLINK("https://lsnyc.legalserver.org/matter/dynamic-profile/view/1896838","19-1896838")</f>
        <v>0</v>
      </c>
      <c r="B749" t="s">
        <v>15</v>
      </c>
      <c r="C749" t="s">
        <v>30</v>
      </c>
      <c r="D749" t="s">
        <v>698</v>
      </c>
      <c r="E749" t="s">
        <v>2370</v>
      </c>
      <c r="F749" t="s">
        <v>2437</v>
      </c>
      <c r="I749" t="s">
        <v>2446</v>
      </c>
      <c r="J749" t="s">
        <v>2488</v>
      </c>
      <c r="K749" t="s">
        <v>2569</v>
      </c>
      <c r="M749" t="s">
        <v>2638</v>
      </c>
    </row>
    <row r="750" spans="1:14">
      <c r="A750" s="1">
        <f>HYPERLINK("https://lsnyc.legalserver.org/matter/dynamic-profile/view/1896724","19-1896724")</f>
        <v>0</v>
      </c>
      <c r="B750" t="s">
        <v>15</v>
      </c>
      <c r="C750" t="s">
        <v>22</v>
      </c>
      <c r="D750" t="s">
        <v>699</v>
      </c>
      <c r="E750" t="s">
        <v>2376</v>
      </c>
      <c r="F750" t="s">
        <v>2437</v>
      </c>
      <c r="J750" t="s">
        <v>2513</v>
      </c>
      <c r="K750" t="s">
        <v>2578</v>
      </c>
      <c r="L750" t="s">
        <v>2603</v>
      </c>
      <c r="M750" t="s">
        <v>2618</v>
      </c>
    </row>
    <row r="751" spans="1:14">
      <c r="A751" s="1">
        <f>HYPERLINK("https://lsnyc.legalserver.org/matter/dynamic-profile/view/1896610","19-1896610")</f>
        <v>0</v>
      </c>
      <c r="B751" t="s">
        <v>14</v>
      </c>
      <c r="C751" t="s">
        <v>26</v>
      </c>
      <c r="D751" t="s">
        <v>700</v>
      </c>
      <c r="E751" t="s">
        <v>2374</v>
      </c>
      <c r="F751" t="s">
        <v>2438</v>
      </c>
      <c r="I751" t="s">
        <v>2446</v>
      </c>
      <c r="J751" t="s">
        <v>2448</v>
      </c>
      <c r="K751" t="s">
        <v>2569</v>
      </c>
      <c r="M751" t="s">
        <v>2616</v>
      </c>
    </row>
    <row r="752" spans="1:14">
      <c r="A752" s="1">
        <f>HYPERLINK("https://lsnyc.legalserver.org/matter/dynamic-profile/view/1896619","19-1896619")</f>
        <v>0</v>
      </c>
      <c r="B752" t="s">
        <v>16</v>
      </c>
      <c r="C752" t="s">
        <v>23</v>
      </c>
      <c r="D752" t="s">
        <v>701</v>
      </c>
      <c r="E752" t="s">
        <v>2385</v>
      </c>
      <c r="F752" t="s">
        <v>2438</v>
      </c>
      <c r="I752" t="s">
        <v>2446</v>
      </c>
      <c r="J752" t="s">
        <v>2450</v>
      </c>
      <c r="K752" t="s">
        <v>2569</v>
      </c>
      <c r="M752" t="s">
        <v>2616</v>
      </c>
    </row>
    <row r="753" spans="1:14">
      <c r="A753" s="1">
        <f>HYPERLINK("https://lsnyc.legalserver.org/matter/dynamic-profile/view/1896628","19-1896628")</f>
        <v>0</v>
      </c>
      <c r="B753" t="s">
        <v>16</v>
      </c>
      <c r="C753" t="s">
        <v>23</v>
      </c>
      <c r="D753" t="s">
        <v>702</v>
      </c>
      <c r="E753" t="s">
        <v>2374</v>
      </c>
      <c r="F753" t="s">
        <v>2438</v>
      </c>
      <c r="I753" t="s">
        <v>2446</v>
      </c>
      <c r="J753" t="s">
        <v>2450</v>
      </c>
      <c r="K753" t="s">
        <v>2569</v>
      </c>
      <c r="M753" t="s">
        <v>2616</v>
      </c>
    </row>
    <row r="754" spans="1:14">
      <c r="A754" s="1">
        <f>HYPERLINK("https://lsnyc.legalserver.org/matter/dynamic-profile/view/1896645","19-1896645")</f>
        <v>0</v>
      </c>
      <c r="B754" t="s">
        <v>16</v>
      </c>
      <c r="C754" t="s">
        <v>23</v>
      </c>
      <c r="D754" t="s">
        <v>703</v>
      </c>
      <c r="E754" t="s">
        <v>2385</v>
      </c>
      <c r="F754" t="s">
        <v>2438</v>
      </c>
      <c r="I754" t="s">
        <v>2446</v>
      </c>
      <c r="J754" t="s">
        <v>2450</v>
      </c>
      <c r="K754" t="s">
        <v>2569</v>
      </c>
      <c r="M754" t="s">
        <v>2616</v>
      </c>
    </row>
    <row r="755" spans="1:14">
      <c r="A755" s="1">
        <f>HYPERLINK("https://lsnyc.legalserver.org/matter/dynamic-profile/view/1896662","19-1896662")</f>
        <v>0</v>
      </c>
      <c r="B755" t="s">
        <v>16</v>
      </c>
      <c r="C755" t="s">
        <v>23</v>
      </c>
      <c r="D755" t="s">
        <v>704</v>
      </c>
      <c r="E755" t="s">
        <v>2385</v>
      </c>
      <c r="F755" t="s">
        <v>2438</v>
      </c>
      <c r="I755" t="s">
        <v>2446</v>
      </c>
      <c r="J755" t="s">
        <v>2450</v>
      </c>
      <c r="M755" t="s">
        <v>2616</v>
      </c>
    </row>
    <row r="756" spans="1:14">
      <c r="A756" s="1">
        <f>HYPERLINK("https://lsnyc.legalserver.org/matter/dynamic-profile/view/1897066","19-1897066")</f>
        <v>0</v>
      </c>
      <c r="B756" t="s">
        <v>15</v>
      </c>
      <c r="C756" t="s">
        <v>32</v>
      </c>
      <c r="D756" t="s">
        <v>591</v>
      </c>
      <c r="E756" t="s">
        <v>2376</v>
      </c>
      <c r="F756" t="s">
        <v>2437</v>
      </c>
      <c r="J756" t="s">
        <v>2450</v>
      </c>
      <c r="K756" t="s">
        <v>2569</v>
      </c>
      <c r="L756" t="s">
        <v>2600</v>
      </c>
      <c r="M756" t="s">
        <v>2618</v>
      </c>
    </row>
    <row r="757" spans="1:14">
      <c r="A757" s="1">
        <f>HYPERLINK("https://lsnyc.legalserver.org/matter/dynamic-profile/view/1896521","19-1896521")</f>
        <v>0</v>
      </c>
      <c r="B757" t="s">
        <v>16</v>
      </c>
      <c r="C757" t="s">
        <v>46</v>
      </c>
      <c r="D757" t="s">
        <v>705</v>
      </c>
      <c r="E757" t="s">
        <v>2375</v>
      </c>
      <c r="F757" t="s">
        <v>2437</v>
      </c>
      <c r="I757" t="s">
        <v>2446</v>
      </c>
      <c r="J757" t="s">
        <v>2509</v>
      </c>
      <c r="K757" t="s">
        <v>2571</v>
      </c>
      <c r="M757" t="s">
        <v>2617</v>
      </c>
    </row>
    <row r="758" spans="1:14">
      <c r="A758" s="1">
        <f>HYPERLINK("https://lsnyc.legalserver.org/matter/dynamic-profile/view/1896558","19-1896558")</f>
        <v>0</v>
      </c>
      <c r="B758" t="s">
        <v>16</v>
      </c>
      <c r="C758" t="s">
        <v>46</v>
      </c>
      <c r="D758" t="s">
        <v>706</v>
      </c>
      <c r="E758" t="s">
        <v>2390</v>
      </c>
      <c r="F758" t="s">
        <v>2437</v>
      </c>
      <c r="I758" t="s">
        <v>2446</v>
      </c>
      <c r="J758" t="s">
        <v>2514</v>
      </c>
      <c r="K758" t="s">
        <v>2572</v>
      </c>
      <c r="L758" t="s">
        <v>2600</v>
      </c>
      <c r="M758" t="s">
        <v>2619</v>
      </c>
    </row>
    <row r="759" spans="1:14">
      <c r="A759" s="1">
        <f>HYPERLINK("https://lsnyc.legalserver.org/matter/dynamic-profile/view/1896562","19-1896562")</f>
        <v>0</v>
      </c>
      <c r="B759" t="s">
        <v>16</v>
      </c>
      <c r="C759" t="s">
        <v>46</v>
      </c>
      <c r="D759" t="s">
        <v>707</v>
      </c>
      <c r="E759" t="s">
        <v>2390</v>
      </c>
      <c r="F759" t="s">
        <v>2437</v>
      </c>
      <c r="I759" t="s">
        <v>2446</v>
      </c>
      <c r="J759" t="s">
        <v>2448</v>
      </c>
      <c r="K759" t="s">
        <v>2569</v>
      </c>
      <c r="M759" t="s">
        <v>2619</v>
      </c>
    </row>
    <row r="760" spans="1:14">
      <c r="A760" s="1">
        <f>HYPERLINK("https://lsnyc.legalserver.org/matter/dynamic-profile/view/1896577","19-1896577")</f>
        <v>0</v>
      </c>
      <c r="B760" t="s">
        <v>16</v>
      </c>
      <c r="C760" t="s">
        <v>46</v>
      </c>
      <c r="D760" t="s">
        <v>708</v>
      </c>
      <c r="E760" t="s">
        <v>2390</v>
      </c>
      <c r="F760" t="s">
        <v>2437</v>
      </c>
      <c r="I760" t="s">
        <v>2446</v>
      </c>
      <c r="J760" t="s">
        <v>2448</v>
      </c>
      <c r="K760" t="s">
        <v>2569</v>
      </c>
      <c r="L760" t="s">
        <v>2600</v>
      </c>
      <c r="M760" t="s">
        <v>2619</v>
      </c>
    </row>
    <row r="761" spans="1:14">
      <c r="A761" s="1">
        <f>HYPERLINK("https://lsnyc.legalserver.org/matter/dynamic-profile/view/1908457","19-1908457")</f>
        <v>0</v>
      </c>
      <c r="B761" t="s">
        <v>15</v>
      </c>
      <c r="C761" t="s">
        <v>30</v>
      </c>
      <c r="D761" t="s">
        <v>709</v>
      </c>
      <c r="E761" t="s">
        <v>2383</v>
      </c>
      <c r="F761" t="s">
        <v>2437</v>
      </c>
      <c r="J761" t="s">
        <v>2457</v>
      </c>
      <c r="K761" t="s">
        <v>2569</v>
      </c>
      <c r="L761" t="s">
        <v>2600</v>
      </c>
      <c r="M761" t="s">
        <v>2624</v>
      </c>
    </row>
    <row r="762" spans="1:14">
      <c r="A762" s="1">
        <f>HYPERLINK("https://lsnyc.legalserver.org/matter/dynamic-profile/view/1896460","19-1896460")</f>
        <v>0</v>
      </c>
      <c r="B762" t="s">
        <v>19</v>
      </c>
      <c r="C762" t="s">
        <v>50</v>
      </c>
      <c r="D762" t="s">
        <v>710</v>
      </c>
      <c r="E762" t="s">
        <v>2391</v>
      </c>
      <c r="F762" t="s">
        <v>2437</v>
      </c>
      <c r="J762" t="s">
        <v>2461</v>
      </c>
      <c r="K762" t="s">
        <v>2592</v>
      </c>
      <c r="L762" t="s">
        <v>2603</v>
      </c>
      <c r="M762" t="s">
        <v>2615</v>
      </c>
      <c r="N762" t="s">
        <v>2648</v>
      </c>
    </row>
    <row r="763" spans="1:14">
      <c r="A763" s="1">
        <f>HYPERLINK("https://lsnyc.legalserver.org/matter/dynamic-profile/view/1896407","19-1896407")</f>
        <v>0</v>
      </c>
      <c r="B763" t="s">
        <v>16</v>
      </c>
      <c r="C763" t="s">
        <v>23</v>
      </c>
      <c r="D763" t="s">
        <v>711</v>
      </c>
      <c r="E763" t="s">
        <v>2385</v>
      </c>
      <c r="F763" t="s">
        <v>2438</v>
      </c>
      <c r="I763" t="s">
        <v>2446</v>
      </c>
      <c r="J763" t="s">
        <v>2450</v>
      </c>
      <c r="K763" t="s">
        <v>2569</v>
      </c>
      <c r="M763" t="s">
        <v>2616</v>
      </c>
    </row>
    <row r="764" spans="1:14">
      <c r="A764" s="1">
        <f>HYPERLINK("https://lsnyc.legalserver.org/matter/dynamic-profile/view/1896424","19-1896424")</f>
        <v>0</v>
      </c>
      <c r="B764" t="s">
        <v>18</v>
      </c>
      <c r="C764" t="s">
        <v>34</v>
      </c>
      <c r="D764" t="s">
        <v>712</v>
      </c>
      <c r="E764" t="s">
        <v>2391</v>
      </c>
      <c r="F764" t="s">
        <v>2437</v>
      </c>
      <c r="I764" t="s">
        <v>2446</v>
      </c>
      <c r="J764" t="s">
        <v>2507</v>
      </c>
      <c r="K764" t="s">
        <v>2572</v>
      </c>
      <c r="M764" t="s">
        <v>2615</v>
      </c>
    </row>
    <row r="765" spans="1:14">
      <c r="A765" s="1">
        <f>HYPERLINK("https://lsnyc.legalserver.org/matter/dynamic-profile/view/1896430","19-1896430")</f>
        <v>0</v>
      </c>
      <c r="B765" t="s">
        <v>18</v>
      </c>
      <c r="C765" t="s">
        <v>34</v>
      </c>
      <c r="D765" t="s">
        <v>712</v>
      </c>
      <c r="E765" t="s">
        <v>2387</v>
      </c>
      <c r="F765" t="s">
        <v>2437</v>
      </c>
      <c r="J765" t="s">
        <v>2507</v>
      </c>
      <c r="K765" t="s">
        <v>2572</v>
      </c>
      <c r="M765" t="s">
        <v>2629</v>
      </c>
    </row>
    <row r="766" spans="1:14">
      <c r="A766" s="1">
        <f>HYPERLINK("https://lsnyc.legalserver.org/matter/dynamic-profile/view/1896432","19-1896432")</f>
        <v>0</v>
      </c>
      <c r="B766" t="s">
        <v>15</v>
      </c>
      <c r="C766" t="s">
        <v>29</v>
      </c>
      <c r="D766" t="s">
        <v>713</v>
      </c>
      <c r="E766" t="s">
        <v>2370</v>
      </c>
      <c r="G766" t="s">
        <v>2444</v>
      </c>
      <c r="J766" t="s">
        <v>2447</v>
      </c>
      <c r="K766" t="s">
        <v>2569</v>
      </c>
      <c r="M766" t="s">
        <v>2638</v>
      </c>
    </row>
    <row r="767" spans="1:14">
      <c r="A767" s="1">
        <f>HYPERLINK("https://lsnyc.legalserver.org/matter/dynamic-profile/view/1896445","19-1896445")</f>
        <v>0</v>
      </c>
      <c r="B767" t="s">
        <v>15</v>
      </c>
      <c r="C767" t="s">
        <v>49</v>
      </c>
      <c r="D767" t="s">
        <v>714</v>
      </c>
      <c r="E767" t="s">
        <v>2394</v>
      </c>
      <c r="F767" t="s">
        <v>2436</v>
      </c>
      <c r="G767" t="s">
        <v>2444</v>
      </c>
      <c r="J767" t="s">
        <v>2447</v>
      </c>
      <c r="K767" t="s">
        <v>2569</v>
      </c>
      <c r="M767" t="s">
        <v>2436</v>
      </c>
    </row>
    <row r="768" spans="1:14">
      <c r="A768" s="1">
        <f>HYPERLINK("https://lsnyc.legalserver.org/matter/dynamic-profile/view/1896459","19-1896459")</f>
        <v>0</v>
      </c>
      <c r="B768" t="s">
        <v>19</v>
      </c>
      <c r="C768" t="s">
        <v>50</v>
      </c>
      <c r="D768" t="s">
        <v>715</v>
      </c>
      <c r="E768" t="s">
        <v>2385</v>
      </c>
      <c r="F768" t="s">
        <v>2438</v>
      </c>
      <c r="J768" t="s">
        <v>2450</v>
      </c>
      <c r="K768" t="s">
        <v>2569</v>
      </c>
      <c r="M768" t="s">
        <v>2616</v>
      </c>
      <c r="N768" t="s">
        <v>2649</v>
      </c>
    </row>
    <row r="769" spans="1:13">
      <c r="A769" s="1">
        <f>HYPERLINK("https://lsnyc.legalserver.org/matter/dynamic-profile/view/1896165","19-1896165")</f>
        <v>0</v>
      </c>
      <c r="B769" t="s">
        <v>19</v>
      </c>
      <c r="C769" t="s">
        <v>62</v>
      </c>
      <c r="D769" t="s">
        <v>716</v>
      </c>
      <c r="E769" t="s">
        <v>2376</v>
      </c>
      <c r="F769" t="s">
        <v>2437</v>
      </c>
      <c r="I769" t="s">
        <v>2446</v>
      </c>
      <c r="J769" t="s">
        <v>2453</v>
      </c>
      <c r="K769" t="s">
        <v>2572</v>
      </c>
      <c r="L769" t="s">
        <v>2603</v>
      </c>
      <c r="M769" t="s">
        <v>2626</v>
      </c>
    </row>
    <row r="770" spans="1:13">
      <c r="A770" s="1">
        <f>HYPERLINK("https://lsnyc.legalserver.org/matter/dynamic-profile/view/1896458","19-1896458")</f>
        <v>0</v>
      </c>
      <c r="B770" t="s">
        <v>15</v>
      </c>
      <c r="C770" t="s">
        <v>22</v>
      </c>
      <c r="D770" t="s">
        <v>717</v>
      </c>
      <c r="E770" t="s">
        <v>2374</v>
      </c>
      <c r="F770" t="s">
        <v>2440</v>
      </c>
      <c r="I770" t="s">
        <v>2446</v>
      </c>
      <c r="J770" t="s">
        <v>2515</v>
      </c>
      <c r="K770" t="s">
        <v>2572</v>
      </c>
      <c r="L770" t="s">
        <v>2601</v>
      </c>
      <c r="M770" t="s">
        <v>2631</v>
      </c>
    </row>
    <row r="771" spans="1:13">
      <c r="A771" s="1">
        <f>HYPERLINK("https://lsnyc.legalserver.org/matter/dynamic-profile/view/1896128","19-1896128")</f>
        <v>0</v>
      </c>
      <c r="B771" t="s">
        <v>19</v>
      </c>
      <c r="C771" t="s">
        <v>38</v>
      </c>
      <c r="D771" t="s">
        <v>253</v>
      </c>
      <c r="E771" t="s">
        <v>2374</v>
      </c>
      <c r="F771" t="s">
        <v>2438</v>
      </c>
      <c r="J771" t="s">
        <v>2453</v>
      </c>
      <c r="K771" t="s">
        <v>2572</v>
      </c>
      <c r="L771" t="s">
        <v>2606</v>
      </c>
      <c r="M771" t="s">
        <v>2616</v>
      </c>
    </row>
    <row r="772" spans="1:13">
      <c r="A772" s="1">
        <f>HYPERLINK("https://lsnyc.legalserver.org/matter/dynamic-profile/view/1896180","19-1896180")</f>
        <v>0</v>
      </c>
      <c r="B772" t="s">
        <v>16</v>
      </c>
      <c r="C772" t="s">
        <v>23</v>
      </c>
      <c r="D772" t="s">
        <v>718</v>
      </c>
      <c r="E772" t="s">
        <v>2375</v>
      </c>
      <c r="F772" t="s">
        <v>2437</v>
      </c>
      <c r="I772" t="s">
        <v>2446</v>
      </c>
      <c r="J772" t="s">
        <v>2454</v>
      </c>
      <c r="K772" t="s">
        <v>2572</v>
      </c>
      <c r="M772" t="s">
        <v>2617</v>
      </c>
    </row>
    <row r="773" spans="1:13">
      <c r="A773" s="1">
        <f>HYPERLINK("https://lsnyc.legalserver.org/matter/dynamic-profile/view/1896186","19-1896186")</f>
        <v>0</v>
      </c>
      <c r="B773" t="s">
        <v>18</v>
      </c>
      <c r="C773" t="s">
        <v>45</v>
      </c>
      <c r="D773" t="s">
        <v>641</v>
      </c>
      <c r="E773" t="s">
        <v>2374</v>
      </c>
      <c r="F773" t="s">
        <v>2438</v>
      </c>
      <c r="I773" t="s">
        <v>2446</v>
      </c>
      <c r="J773" t="s">
        <v>2450</v>
      </c>
      <c r="K773" t="s">
        <v>2569</v>
      </c>
      <c r="M773" t="s">
        <v>2616</v>
      </c>
    </row>
    <row r="774" spans="1:13">
      <c r="A774" s="1">
        <f>HYPERLINK("https://lsnyc.legalserver.org/matter/dynamic-profile/view/1896192","19-1896192")</f>
        <v>0</v>
      </c>
      <c r="B774" t="s">
        <v>18</v>
      </c>
      <c r="C774" t="s">
        <v>45</v>
      </c>
      <c r="D774" t="s">
        <v>634</v>
      </c>
      <c r="E774" t="s">
        <v>2374</v>
      </c>
      <c r="F774" t="s">
        <v>2438</v>
      </c>
      <c r="I774" t="s">
        <v>2446</v>
      </c>
      <c r="J774" t="s">
        <v>2450</v>
      </c>
      <c r="K774" t="s">
        <v>2569</v>
      </c>
      <c r="M774" t="s">
        <v>2616</v>
      </c>
    </row>
    <row r="775" spans="1:13">
      <c r="A775" s="1">
        <f>HYPERLINK("https://lsnyc.legalserver.org/matter/dynamic-profile/view/1896195","19-1896195")</f>
        <v>0</v>
      </c>
      <c r="B775" t="s">
        <v>15</v>
      </c>
      <c r="C775" t="s">
        <v>49</v>
      </c>
      <c r="D775" t="s">
        <v>719</v>
      </c>
      <c r="E775" t="s">
        <v>2390</v>
      </c>
      <c r="F775" t="s">
        <v>2437</v>
      </c>
      <c r="I775" t="s">
        <v>2446</v>
      </c>
      <c r="J775" t="s">
        <v>2453</v>
      </c>
      <c r="K775" t="s">
        <v>2572</v>
      </c>
      <c r="M775" t="s">
        <v>2619</v>
      </c>
    </row>
    <row r="776" spans="1:13">
      <c r="A776" s="1">
        <f>HYPERLINK("https://lsnyc.legalserver.org/matter/dynamic-profile/view/1896232","19-1896232")</f>
        <v>0</v>
      </c>
      <c r="B776" t="s">
        <v>18</v>
      </c>
      <c r="C776" t="s">
        <v>27</v>
      </c>
      <c r="D776" t="s">
        <v>647</v>
      </c>
      <c r="E776" t="s">
        <v>2391</v>
      </c>
      <c r="F776" t="s">
        <v>2437</v>
      </c>
      <c r="J776" t="s">
        <v>2450</v>
      </c>
      <c r="K776" t="s">
        <v>2569</v>
      </c>
      <c r="M776" t="s">
        <v>2615</v>
      </c>
    </row>
    <row r="777" spans="1:13">
      <c r="A777" s="1">
        <f>HYPERLINK("https://lsnyc.legalserver.org/matter/dynamic-profile/view/1896405","19-1896405")</f>
        <v>0</v>
      </c>
      <c r="B777" t="s">
        <v>17</v>
      </c>
      <c r="C777" t="s">
        <v>42</v>
      </c>
      <c r="D777" t="s">
        <v>720</v>
      </c>
      <c r="E777" t="s">
        <v>2385</v>
      </c>
      <c r="F777" t="s">
        <v>2438</v>
      </c>
      <c r="I777" t="s">
        <v>2446</v>
      </c>
      <c r="J777" t="s">
        <v>2465</v>
      </c>
      <c r="K777" t="s">
        <v>2569</v>
      </c>
      <c r="M777" t="s">
        <v>2616</v>
      </c>
    </row>
    <row r="778" spans="1:13">
      <c r="A778" s="1">
        <f>HYPERLINK("https://lsnyc.legalserver.org/matter/dynamic-profile/view/1896071","19-1896071")</f>
        <v>0</v>
      </c>
      <c r="B778" t="s">
        <v>18</v>
      </c>
      <c r="C778" t="s">
        <v>40</v>
      </c>
      <c r="D778" t="s">
        <v>721</v>
      </c>
      <c r="G778" t="s">
        <v>2444</v>
      </c>
      <c r="J778" t="s">
        <v>2499</v>
      </c>
      <c r="K778" t="s">
        <v>2572</v>
      </c>
      <c r="M778" t="s">
        <v>2614</v>
      </c>
    </row>
    <row r="779" spans="1:13">
      <c r="A779" s="1">
        <f>HYPERLINK("https://lsnyc.legalserver.org/matter/dynamic-profile/view/1896100","19-1896100")</f>
        <v>0</v>
      </c>
      <c r="B779" t="s">
        <v>15</v>
      </c>
      <c r="C779" t="s">
        <v>30</v>
      </c>
      <c r="D779" t="s">
        <v>585</v>
      </c>
      <c r="E779" t="s">
        <v>2374</v>
      </c>
      <c r="F779" t="s">
        <v>2438</v>
      </c>
      <c r="J779" t="s">
        <v>2467</v>
      </c>
      <c r="K779" t="s">
        <v>2572</v>
      </c>
      <c r="M779" t="s">
        <v>2616</v>
      </c>
    </row>
    <row r="780" spans="1:13">
      <c r="A780" s="1">
        <f>HYPERLINK("https://lsnyc.legalserver.org/matter/dynamic-profile/view/1896117","19-1896117")</f>
        <v>0</v>
      </c>
      <c r="B780" t="s">
        <v>16</v>
      </c>
      <c r="C780" t="s">
        <v>23</v>
      </c>
      <c r="D780" t="s">
        <v>672</v>
      </c>
      <c r="E780" t="s">
        <v>2374</v>
      </c>
      <c r="F780" t="s">
        <v>2438</v>
      </c>
      <c r="I780" t="s">
        <v>2446</v>
      </c>
      <c r="J780" t="s">
        <v>2449</v>
      </c>
      <c r="K780" t="s">
        <v>2569</v>
      </c>
      <c r="M780" t="s">
        <v>2616</v>
      </c>
    </row>
    <row r="781" spans="1:13">
      <c r="A781" s="1">
        <f>HYPERLINK("https://lsnyc.legalserver.org/matter/dynamic-profile/view/1896313","19-1896313")</f>
        <v>0</v>
      </c>
      <c r="B781" t="s">
        <v>17</v>
      </c>
      <c r="C781" t="s">
        <v>28</v>
      </c>
      <c r="D781" t="s">
        <v>722</v>
      </c>
      <c r="E781" t="s">
        <v>2373</v>
      </c>
      <c r="F781" t="s">
        <v>2441</v>
      </c>
      <c r="I781" t="s">
        <v>2446</v>
      </c>
      <c r="J781" t="s">
        <v>2450</v>
      </c>
      <c r="K781" t="s">
        <v>2569</v>
      </c>
      <c r="M781" t="s">
        <v>2615</v>
      </c>
    </row>
    <row r="782" spans="1:13">
      <c r="A782" s="1">
        <f>HYPERLINK("https://lsnyc.legalserver.org/matter/dynamic-profile/view/1903448","19-1903448")</f>
        <v>0</v>
      </c>
      <c r="B782" t="s">
        <v>16</v>
      </c>
      <c r="C782" t="s">
        <v>23</v>
      </c>
      <c r="D782" t="s">
        <v>469</v>
      </c>
      <c r="E782" t="s">
        <v>2374</v>
      </c>
      <c r="F782" t="s">
        <v>2438</v>
      </c>
      <c r="I782" t="s">
        <v>2446</v>
      </c>
      <c r="J782" t="s">
        <v>2449</v>
      </c>
      <c r="M782" t="s">
        <v>2616</v>
      </c>
    </row>
    <row r="783" spans="1:13">
      <c r="A783" s="1">
        <f>HYPERLINK("https://lsnyc.legalserver.org/matter/dynamic-profile/view/1895868","19-1895868")</f>
        <v>0</v>
      </c>
      <c r="B783" t="s">
        <v>18</v>
      </c>
      <c r="C783" t="s">
        <v>34</v>
      </c>
      <c r="D783" t="s">
        <v>723</v>
      </c>
      <c r="E783" t="s">
        <v>2386</v>
      </c>
      <c r="F783" t="s">
        <v>2439</v>
      </c>
      <c r="I783" t="s">
        <v>2446</v>
      </c>
      <c r="J783" t="s">
        <v>2448</v>
      </c>
      <c r="K783" t="s">
        <v>2569</v>
      </c>
      <c r="L783" t="s">
        <v>2601</v>
      </c>
      <c r="M783" t="s">
        <v>2631</v>
      </c>
    </row>
    <row r="784" spans="1:13">
      <c r="A784" s="1">
        <f>HYPERLINK("https://lsnyc.legalserver.org/matter/dynamic-profile/view/1895876","19-1895876")</f>
        <v>0</v>
      </c>
      <c r="B784" t="s">
        <v>14</v>
      </c>
      <c r="C784" t="s">
        <v>20</v>
      </c>
      <c r="D784" t="s">
        <v>724</v>
      </c>
      <c r="E784" t="s">
        <v>2383</v>
      </c>
      <c r="F784" t="s">
        <v>2437</v>
      </c>
      <c r="I784" t="s">
        <v>2446</v>
      </c>
      <c r="J784" t="s">
        <v>2455</v>
      </c>
      <c r="K784" t="s">
        <v>2569</v>
      </c>
      <c r="L784" t="s">
        <v>2601</v>
      </c>
      <c r="M784" t="s">
        <v>2631</v>
      </c>
    </row>
    <row r="785" spans="1:14">
      <c r="A785" s="1">
        <f>HYPERLINK("https://lsnyc.legalserver.org/matter/dynamic-profile/view/1895884","19-1895884")</f>
        <v>0</v>
      </c>
      <c r="B785" t="s">
        <v>16</v>
      </c>
      <c r="C785" t="s">
        <v>46</v>
      </c>
      <c r="D785" t="s">
        <v>725</v>
      </c>
      <c r="E785" t="s">
        <v>2390</v>
      </c>
      <c r="F785" t="s">
        <v>2437</v>
      </c>
      <c r="I785" t="s">
        <v>2446</v>
      </c>
      <c r="J785" t="s">
        <v>2452</v>
      </c>
      <c r="K785" t="s">
        <v>2572</v>
      </c>
      <c r="L785" t="s">
        <v>2600</v>
      </c>
      <c r="M785" t="s">
        <v>2619</v>
      </c>
    </row>
    <row r="786" spans="1:14">
      <c r="A786" s="1">
        <f>HYPERLINK("https://lsnyc.legalserver.org/matter/dynamic-profile/view/1895887","19-1895887")</f>
        <v>0</v>
      </c>
      <c r="B786" t="s">
        <v>15</v>
      </c>
      <c r="C786" t="s">
        <v>49</v>
      </c>
      <c r="D786" t="s">
        <v>726</v>
      </c>
      <c r="E786" t="s">
        <v>2390</v>
      </c>
      <c r="F786" t="s">
        <v>2436</v>
      </c>
      <c r="H786" t="s">
        <v>2445</v>
      </c>
      <c r="J786" t="s">
        <v>2448</v>
      </c>
      <c r="K786" t="s">
        <v>2572</v>
      </c>
      <c r="M786" t="s">
        <v>2436</v>
      </c>
    </row>
    <row r="787" spans="1:14">
      <c r="A787" s="1">
        <f>HYPERLINK("https://lsnyc.legalserver.org/matter/dynamic-profile/view/1895896","19-1895896")</f>
        <v>0</v>
      </c>
      <c r="B787" t="s">
        <v>16</v>
      </c>
      <c r="C787" t="s">
        <v>23</v>
      </c>
      <c r="D787" t="s">
        <v>727</v>
      </c>
      <c r="E787" t="s">
        <v>2406</v>
      </c>
      <c r="F787" t="s">
        <v>2437</v>
      </c>
      <c r="I787" t="s">
        <v>2446</v>
      </c>
      <c r="J787" t="s">
        <v>2448</v>
      </c>
      <c r="K787" t="s">
        <v>2569</v>
      </c>
      <c r="M787" t="s">
        <v>2642</v>
      </c>
    </row>
    <row r="788" spans="1:14">
      <c r="A788" s="1">
        <f>HYPERLINK("https://lsnyc.legalserver.org/matter/dynamic-profile/view/1895905","19-1895905")</f>
        <v>0</v>
      </c>
      <c r="B788" t="s">
        <v>16</v>
      </c>
      <c r="C788" t="s">
        <v>46</v>
      </c>
      <c r="D788" t="s">
        <v>728</v>
      </c>
      <c r="E788" t="s">
        <v>2385</v>
      </c>
      <c r="F788" t="s">
        <v>2437</v>
      </c>
      <c r="I788" t="s">
        <v>2446</v>
      </c>
      <c r="J788" t="s">
        <v>2448</v>
      </c>
      <c r="K788" t="s">
        <v>2569</v>
      </c>
      <c r="M788" t="s">
        <v>2616</v>
      </c>
    </row>
    <row r="789" spans="1:14">
      <c r="A789" s="1">
        <f>HYPERLINK("https://lsnyc.legalserver.org/matter/dynamic-profile/view/1895911","19-1895911")</f>
        <v>0</v>
      </c>
      <c r="B789" t="s">
        <v>16</v>
      </c>
      <c r="C789" t="s">
        <v>23</v>
      </c>
      <c r="D789" t="s">
        <v>729</v>
      </c>
      <c r="E789" t="s">
        <v>2413</v>
      </c>
      <c r="F789" t="s">
        <v>2437</v>
      </c>
      <c r="I789" t="s">
        <v>2446</v>
      </c>
      <c r="J789" t="s">
        <v>2448</v>
      </c>
      <c r="M789" t="s">
        <v>2629</v>
      </c>
    </row>
    <row r="790" spans="1:14">
      <c r="A790" s="1">
        <f>HYPERLINK("https://lsnyc.legalserver.org/matter/dynamic-profile/view/1895914","19-1895914")</f>
        <v>0</v>
      </c>
      <c r="B790" t="s">
        <v>16</v>
      </c>
      <c r="C790" t="s">
        <v>23</v>
      </c>
      <c r="D790" t="s">
        <v>730</v>
      </c>
      <c r="E790" t="s">
        <v>2413</v>
      </c>
      <c r="F790" t="s">
        <v>2437</v>
      </c>
      <c r="I790" t="s">
        <v>2446</v>
      </c>
      <c r="J790" t="s">
        <v>2448</v>
      </c>
      <c r="M790" t="s">
        <v>2629</v>
      </c>
    </row>
    <row r="791" spans="1:14">
      <c r="A791" s="1">
        <f>HYPERLINK("https://lsnyc.legalserver.org/matter/dynamic-profile/view/1895919","19-1895919")</f>
        <v>0</v>
      </c>
      <c r="B791" t="s">
        <v>16</v>
      </c>
      <c r="C791" t="s">
        <v>23</v>
      </c>
      <c r="D791" t="s">
        <v>731</v>
      </c>
      <c r="E791" t="s">
        <v>2413</v>
      </c>
      <c r="F791" t="s">
        <v>2437</v>
      </c>
      <c r="I791" t="s">
        <v>2446</v>
      </c>
      <c r="J791" t="s">
        <v>2448</v>
      </c>
      <c r="M791" t="s">
        <v>2629</v>
      </c>
    </row>
    <row r="792" spans="1:14">
      <c r="A792" s="1">
        <f>HYPERLINK("https://lsnyc.legalserver.org/matter/dynamic-profile/view/1896317","19-1896317")</f>
        <v>0</v>
      </c>
      <c r="B792" t="s">
        <v>17</v>
      </c>
      <c r="C792" t="s">
        <v>28</v>
      </c>
      <c r="D792" t="s">
        <v>722</v>
      </c>
      <c r="E792" t="s">
        <v>2375</v>
      </c>
      <c r="F792" t="s">
        <v>2437</v>
      </c>
      <c r="I792" t="s">
        <v>2446</v>
      </c>
      <c r="J792" t="s">
        <v>2450</v>
      </c>
      <c r="K792" t="s">
        <v>2569</v>
      </c>
      <c r="L792" t="s">
        <v>2600</v>
      </c>
      <c r="M792" t="s">
        <v>2617</v>
      </c>
    </row>
    <row r="793" spans="1:14">
      <c r="A793" s="1">
        <f>HYPERLINK("https://lsnyc.legalserver.org/matter/dynamic-profile/view/1896319","19-1896319")</f>
        <v>0</v>
      </c>
      <c r="B793" t="s">
        <v>17</v>
      </c>
      <c r="C793" t="s">
        <v>28</v>
      </c>
      <c r="D793" t="s">
        <v>732</v>
      </c>
      <c r="E793" t="s">
        <v>2375</v>
      </c>
      <c r="F793" t="s">
        <v>2437</v>
      </c>
      <c r="I793" t="s">
        <v>2446</v>
      </c>
      <c r="J793" t="s">
        <v>2450</v>
      </c>
      <c r="K793" t="s">
        <v>2569</v>
      </c>
      <c r="L793" t="s">
        <v>2600</v>
      </c>
      <c r="M793" t="s">
        <v>2617</v>
      </c>
    </row>
    <row r="794" spans="1:14">
      <c r="A794" s="1">
        <f>HYPERLINK("https://lsnyc.legalserver.org/matter/dynamic-profile/view/1895787","19-1895787")</f>
        <v>0</v>
      </c>
      <c r="B794" t="s">
        <v>17</v>
      </c>
      <c r="C794" t="s">
        <v>56</v>
      </c>
      <c r="D794" t="s">
        <v>733</v>
      </c>
      <c r="E794" t="s">
        <v>2406</v>
      </c>
      <c r="F794" t="s">
        <v>2437</v>
      </c>
      <c r="I794" t="s">
        <v>2446</v>
      </c>
      <c r="J794" t="s">
        <v>2457</v>
      </c>
      <c r="K794" t="s">
        <v>2572</v>
      </c>
      <c r="L794" t="s">
        <v>2600</v>
      </c>
      <c r="M794" t="s">
        <v>2642</v>
      </c>
    </row>
    <row r="795" spans="1:14">
      <c r="A795" s="1">
        <f>HYPERLINK("https://lsnyc.legalserver.org/matter/dynamic-profile/view/1895807","19-1895807")</f>
        <v>0</v>
      </c>
      <c r="B795" t="s">
        <v>16</v>
      </c>
      <c r="C795" t="s">
        <v>46</v>
      </c>
      <c r="D795" t="s">
        <v>734</v>
      </c>
      <c r="E795" t="s">
        <v>2390</v>
      </c>
      <c r="F795" t="s">
        <v>2437</v>
      </c>
      <c r="I795" t="s">
        <v>2446</v>
      </c>
      <c r="J795" t="s">
        <v>2448</v>
      </c>
      <c r="K795" t="s">
        <v>2569</v>
      </c>
      <c r="M795" t="s">
        <v>2619</v>
      </c>
    </row>
    <row r="796" spans="1:14">
      <c r="A796" s="1">
        <f>HYPERLINK("https://lsnyc.legalserver.org/matter/dynamic-profile/view/1895812","19-1895812")</f>
        <v>0</v>
      </c>
      <c r="B796" t="s">
        <v>14</v>
      </c>
      <c r="C796" t="s">
        <v>21</v>
      </c>
      <c r="D796" t="s">
        <v>692</v>
      </c>
      <c r="E796" t="s">
        <v>2387</v>
      </c>
      <c r="F796" t="s">
        <v>2437</v>
      </c>
      <c r="J796" t="s">
        <v>2450</v>
      </c>
      <c r="K796" t="s">
        <v>2569</v>
      </c>
      <c r="M796" t="s">
        <v>2626</v>
      </c>
      <c r="N796" t="s">
        <v>2648</v>
      </c>
    </row>
    <row r="797" spans="1:14">
      <c r="A797" s="1">
        <f>HYPERLINK("https://lsnyc.legalserver.org/matter/dynamic-profile/view/1895814","19-1895814")</f>
        <v>0</v>
      </c>
      <c r="B797" t="s">
        <v>16</v>
      </c>
      <c r="C797" t="s">
        <v>46</v>
      </c>
      <c r="D797" t="s">
        <v>735</v>
      </c>
      <c r="E797" t="s">
        <v>2375</v>
      </c>
      <c r="F797" t="s">
        <v>2437</v>
      </c>
      <c r="I797" t="s">
        <v>2446</v>
      </c>
      <c r="J797" t="s">
        <v>2471</v>
      </c>
      <c r="K797" t="s">
        <v>2571</v>
      </c>
      <c r="L797" t="s">
        <v>2600</v>
      </c>
      <c r="M797" t="s">
        <v>2617</v>
      </c>
    </row>
    <row r="798" spans="1:14">
      <c r="A798" s="1">
        <f>HYPERLINK("https://lsnyc.legalserver.org/matter/dynamic-profile/view/1895815","19-1895815")</f>
        <v>0</v>
      </c>
      <c r="B798" t="s">
        <v>16</v>
      </c>
      <c r="C798" t="s">
        <v>46</v>
      </c>
      <c r="D798" t="s">
        <v>736</v>
      </c>
      <c r="E798" t="s">
        <v>2375</v>
      </c>
      <c r="F798" t="s">
        <v>2437</v>
      </c>
      <c r="J798" t="s">
        <v>2471</v>
      </c>
      <c r="K798" t="s">
        <v>2572</v>
      </c>
      <c r="L798" t="s">
        <v>2600</v>
      </c>
      <c r="M798" t="s">
        <v>2617</v>
      </c>
    </row>
    <row r="799" spans="1:14">
      <c r="A799" s="1">
        <f>HYPERLINK("https://lsnyc.legalserver.org/matter/dynamic-profile/view/1895711","19-1895711")</f>
        <v>0</v>
      </c>
      <c r="B799" t="s">
        <v>19</v>
      </c>
      <c r="C799" t="s">
        <v>47</v>
      </c>
      <c r="D799" t="s">
        <v>737</v>
      </c>
      <c r="E799" t="s">
        <v>2390</v>
      </c>
      <c r="F799" t="s">
        <v>2437</v>
      </c>
      <c r="J799" t="s">
        <v>2516</v>
      </c>
      <c r="K799" t="s">
        <v>2572</v>
      </c>
      <c r="L799" t="s">
        <v>2610</v>
      </c>
      <c r="M799" t="s">
        <v>2631</v>
      </c>
      <c r="N799" t="s">
        <v>2648</v>
      </c>
    </row>
    <row r="800" spans="1:14">
      <c r="A800" s="1">
        <f>HYPERLINK("https://lsnyc.legalserver.org/matter/dynamic-profile/view/1895617","19-1895617")</f>
        <v>0</v>
      </c>
      <c r="B800" t="s">
        <v>16</v>
      </c>
      <c r="C800" t="s">
        <v>23</v>
      </c>
      <c r="D800" t="s">
        <v>738</v>
      </c>
      <c r="E800" t="s">
        <v>2374</v>
      </c>
      <c r="F800" t="s">
        <v>2439</v>
      </c>
      <c r="I800" t="s">
        <v>2446</v>
      </c>
      <c r="J800" t="s">
        <v>2465</v>
      </c>
      <c r="K800" t="s">
        <v>2569</v>
      </c>
      <c r="L800" t="s">
        <v>2601</v>
      </c>
      <c r="M800" t="s">
        <v>2631</v>
      </c>
    </row>
    <row r="801" spans="1:14">
      <c r="A801" s="1">
        <f>HYPERLINK("https://lsnyc.legalserver.org/matter/dynamic-profile/view/1895621","19-1895621")</f>
        <v>0</v>
      </c>
      <c r="B801" t="s">
        <v>18</v>
      </c>
      <c r="C801" t="s">
        <v>27</v>
      </c>
      <c r="D801" t="s">
        <v>739</v>
      </c>
      <c r="E801" t="s">
        <v>2371</v>
      </c>
      <c r="F801" t="s">
        <v>2437</v>
      </c>
      <c r="I801" t="s">
        <v>2446</v>
      </c>
      <c r="J801" t="s">
        <v>2461</v>
      </c>
      <c r="K801" t="s">
        <v>2592</v>
      </c>
      <c r="L801" t="s">
        <v>2603</v>
      </c>
      <c r="M801" t="s">
        <v>2612</v>
      </c>
    </row>
    <row r="802" spans="1:14">
      <c r="A802" s="1">
        <f>HYPERLINK("https://lsnyc.legalserver.org/matter/dynamic-profile/view/1895509","19-1895509")</f>
        <v>0</v>
      </c>
      <c r="B802" t="s">
        <v>19</v>
      </c>
      <c r="C802" t="s">
        <v>54</v>
      </c>
      <c r="D802" t="s">
        <v>740</v>
      </c>
      <c r="E802" t="s">
        <v>2385</v>
      </c>
      <c r="F802" t="s">
        <v>2439</v>
      </c>
      <c r="I802" t="s">
        <v>2446</v>
      </c>
      <c r="J802" t="s">
        <v>2465</v>
      </c>
      <c r="K802" t="s">
        <v>2569</v>
      </c>
      <c r="L802" t="s">
        <v>2602</v>
      </c>
      <c r="M802" t="s">
        <v>2631</v>
      </c>
    </row>
    <row r="803" spans="1:14">
      <c r="A803" s="1">
        <f>HYPERLINK("https://lsnyc.legalserver.org/matter/dynamic-profile/view/1895587","19-1895587")</f>
        <v>0</v>
      </c>
      <c r="B803" t="s">
        <v>16</v>
      </c>
      <c r="C803" t="s">
        <v>23</v>
      </c>
      <c r="D803" t="s">
        <v>460</v>
      </c>
      <c r="E803" t="s">
        <v>2374</v>
      </c>
      <c r="F803" t="s">
        <v>2438</v>
      </c>
      <c r="I803" t="s">
        <v>2446</v>
      </c>
      <c r="J803" t="s">
        <v>2465</v>
      </c>
      <c r="K803" t="s">
        <v>2569</v>
      </c>
      <c r="M803" t="s">
        <v>2616</v>
      </c>
    </row>
    <row r="804" spans="1:14">
      <c r="A804" s="1">
        <f>HYPERLINK("https://lsnyc.legalserver.org/matter/dynamic-profile/view/1895655","19-1895655")</f>
        <v>0</v>
      </c>
      <c r="B804" t="s">
        <v>16</v>
      </c>
      <c r="C804" t="s">
        <v>23</v>
      </c>
      <c r="D804" t="s">
        <v>476</v>
      </c>
      <c r="E804" t="s">
        <v>2374</v>
      </c>
      <c r="F804" t="s">
        <v>2438</v>
      </c>
      <c r="I804" t="s">
        <v>2446</v>
      </c>
      <c r="J804" t="s">
        <v>2465</v>
      </c>
      <c r="K804" t="s">
        <v>2569</v>
      </c>
      <c r="M804" t="s">
        <v>2616</v>
      </c>
    </row>
    <row r="805" spans="1:14">
      <c r="A805" s="1">
        <f>HYPERLINK("https://lsnyc.legalserver.org/matter/dynamic-profile/view/1895656","19-1895656")</f>
        <v>0</v>
      </c>
      <c r="B805" t="s">
        <v>18</v>
      </c>
      <c r="C805" t="s">
        <v>27</v>
      </c>
      <c r="D805" t="s">
        <v>653</v>
      </c>
      <c r="E805" t="s">
        <v>2394</v>
      </c>
      <c r="F805" t="s">
        <v>2437</v>
      </c>
      <c r="J805" t="s">
        <v>2448</v>
      </c>
      <c r="K805" t="s">
        <v>2569</v>
      </c>
      <c r="M805" t="s">
        <v>2626</v>
      </c>
    </row>
    <row r="806" spans="1:14">
      <c r="A806" s="1">
        <f>HYPERLINK("https://lsnyc.legalserver.org/matter/dynamic-profile/view/1895659","19-1895659")</f>
        <v>0</v>
      </c>
      <c r="B806" t="s">
        <v>14</v>
      </c>
      <c r="C806" t="s">
        <v>21</v>
      </c>
      <c r="D806" t="s">
        <v>93</v>
      </c>
      <c r="E806" t="s">
        <v>2375</v>
      </c>
      <c r="F806" t="s">
        <v>2437</v>
      </c>
      <c r="G806" t="s">
        <v>2444</v>
      </c>
      <c r="I806" t="s">
        <v>2446</v>
      </c>
      <c r="J806" t="s">
        <v>2488</v>
      </c>
      <c r="K806" t="s">
        <v>2569</v>
      </c>
      <c r="L806" t="s">
        <v>2608</v>
      </c>
      <c r="M806" t="s">
        <v>2617</v>
      </c>
      <c r="N806" t="s">
        <v>2648</v>
      </c>
    </row>
    <row r="807" spans="1:14">
      <c r="A807" s="1">
        <f>HYPERLINK("https://lsnyc.legalserver.org/matter/dynamic-profile/view/1895662","19-1895662")</f>
        <v>0</v>
      </c>
      <c r="B807" t="s">
        <v>14</v>
      </c>
      <c r="C807" t="s">
        <v>21</v>
      </c>
      <c r="D807" t="s">
        <v>741</v>
      </c>
      <c r="E807" t="s">
        <v>2375</v>
      </c>
      <c r="F807" t="s">
        <v>2437</v>
      </c>
      <c r="G807" t="s">
        <v>2444</v>
      </c>
      <c r="I807" t="s">
        <v>2446</v>
      </c>
      <c r="J807" t="s">
        <v>2488</v>
      </c>
      <c r="K807" t="s">
        <v>2569</v>
      </c>
      <c r="L807" t="s">
        <v>2603</v>
      </c>
      <c r="M807" t="s">
        <v>2617</v>
      </c>
      <c r="N807" t="s">
        <v>2648</v>
      </c>
    </row>
    <row r="808" spans="1:14">
      <c r="A808" s="1">
        <f>HYPERLINK("https://lsnyc.legalserver.org/matter/dynamic-profile/view/1895706","19-1895706")</f>
        <v>0</v>
      </c>
      <c r="B808" t="s">
        <v>16</v>
      </c>
      <c r="C808" t="s">
        <v>23</v>
      </c>
      <c r="D808" t="s">
        <v>461</v>
      </c>
      <c r="E808" t="s">
        <v>2385</v>
      </c>
      <c r="F808" t="s">
        <v>2438</v>
      </c>
      <c r="I808" t="s">
        <v>2446</v>
      </c>
      <c r="J808" t="s">
        <v>2450</v>
      </c>
      <c r="K808" t="s">
        <v>2569</v>
      </c>
      <c r="M808" t="s">
        <v>2616</v>
      </c>
    </row>
    <row r="809" spans="1:14">
      <c r="A809" s="1">
        <f>HYPERLINK("https://lsnyc.legalserver.org/matter/dynamic-profile/view/1895546","19-1895546")</f>
        <v>0</v>
      </c>
      <c r="B809" t="s">
        <v>14</v>
      </c>
      <c r="C809" t="s">
        <v>20</v>
      </c>
      <c r="D809" t="s">
        <v>742</v>
      </c>
      <c r="E809" t="s">
        <v>2374</v>
      </c>
      <c r="F809" t="s">
        <v>2439</v>
      </c>
      <c r="I809" t="s">
        <v>2446</v>
      </c>
      <c r="J809" t="s">
        <v>2450</v>
      </c>
      <c r="K809" t="s">
        <v>2569</v>
      </c>
      <c r="L809" t="s">
        <v>2602</v>
      </c>
      <c r="M809" t="s">
        <v>2631</v>
      </c>
    </row>
    <row r="810" spans="1:14">
      <c r="A810" s="1">
        <f>HYPERLINK("https://lsnyc.legalserver.org/matter/dynamic-profile/view/1890655","19-1890655")</f>
        <v>0</v>
      </c>
      <c r="B810" t="s">
        <v>14</v>
      </c>
      <c r="C810" t="s">
        <v>63</v>
      </c>
      <c r="D810" t="s">
        <v>743</v>
      </c>
      <c r="E810" t="s">
        <v>2417</v>
      </c>
      <c r="F810" t="s">
        <v>2437</v>
      </c>
      <c r="I810" t="s">
        <v>2446</v>
      </c>
      <c r="J810" t="s">
        <v>2467</v>
      </c>
      <c r="K810" t="s">
        <v>2572</v>
      </c>
      <c r="M810" t="s">
        <v>2645</v>
      </c>
    </row>
    <row r="811" spans="1:14">
      <c r="A811" s="1">
        <f>HYPERLINK("https://lsnyc.legalserver.org/matter/dynamic-profile/view/1895426","19-1895426")</f>
        <v>0</v>
      </c>
      <c r="B811" t="s">
        <v>18</v>
      </c>
      <c r="C811" t="s">
        <v>53</v>
      </c>
      <c r="D811" t="s">
        <v>630</v>
      </c>
      <c r="E811" t="s">
        <v>2374</v>
      </c>
      <c r="F811" t="s">
        <v>2438</v>
      </c>
      <c r="I811" t="s">
        <v>2446</v>
      </c>
      <c r="J811" t="s">
        <v>2450</v>
      </c>
      <c r="K811" t="s">
        <v>2569</v>
      </c>
      <c r="M811" t="s">
        <v>2616</v>
      </c>
    </row>
    <row r="812" spans="1:14">
      <c r="A812" s="1">
        <f>HYPERLINK("https://lsnyc.legalserver.org/matter/dynamic-profile/view/1895454","19-1895454")</f>
        <v>0</v>
      </c>
      <c r="B812" t="s">
        <v>16</v>
      </c>
      <c r="C812" t="s">
        <v>23</v>
      </c>
      <c r="D812" t="s">
        <v>744</v>
      </c>
      <c r="E812" t="s">
        <v>2375</v>
      </c>
      <c r="F812" t="s">
        <v>2437</v>
      </c>
      <c r="I812" t="s">
        <v>2446</v>
      </c>
      <c r="J812" t="s">
        <v>2454</v>
      </c>
      <c r="K812" t="s">
        <v>2572</v>
      </c>
      <c r="M812" t="s">
        <v>2617</v>
      </c>
    </row>
    <row r="813" spans="1:14">
      <c r="A813" s="1">
        <f>HYPERLINK("https://lsnyc.legalserver.org/matter/dynamic-profile/view/1895478","19-1895478")</f>
        <v>0</v>
      </c>
      <c r="B813" t="s">
        <v>14</v>
      </c>
      <c r="C813" t="s">
        <v>33</v>
      </c>
      <c r="D813" t="s">
        <v>745</v>
      </c>
      <c r="E813" t="s">
        <v>2375</v>
      </c>
      <c r="F813" t="s">
        <v>2438</v>
      </c>
      <c r="K813" t="s">
        <v>2569</v>
      </c>
      <c r="M813" t="s">
        <v>2617</v>
      </c>
    </row>
    <row r="814" spans="1:14">
      <c r="A814" s="1">
        <f>HYPERLINK("https://lsnyc.legalserver.org/matter/dynamic-profile/view/1895544","19-1895544")</f>
        <v>0</v>
      </c>
      <c r="B814" t="s">
        <v>18</v>
      </c>
      <c r="C814" t="s">
        <v>27</v>
      </c>
      <c r="D814" t="s">
        <v>647</v>
      </c>
      <c r="E814" t="s">
        <v>2374</v>
      </c>
      <c r="F814" t="s">
        <v>2438</v>
      </c>
      <c r="J814" t="s">
        <v>2450</v>
      </c>
      <c r="K814" t="s">
        <v>2569</v>
      </c>
      <c r="M814" t="s">
        <v>2616</v>
      </c>
    </row>
    <row r="815" spans="1:14">
      <c r="A815" s="1">
        <f>HYPERLINK("https://lsnyc.legalserver.org/matter/dynamic-profile/view/1895364","19-1895364")</f>
        <v>0</v>
      </c>
      <c r="B815" t="s">
        <v>14</v>
      </c>
      <c r="C815" t="s">
        <v>33</v>
      </c>
      <c r="D815" t="s">
        <v>746</v>
      </c>
      <c r="E815" t="s">
        <v>2376</v>
      </c>
      <c r="F815" t="s">
        <v>2437</v>
      </c>
      <c r="J815" t="s">
        <v>2450</v>
      </c>
      <c r="L815" t="s">
        <v>2604</v>
      </c>
      <c r="M815" t="s">
        <v>2618</v>
      </c>
    </row>
    <row r="816" spans="1:14">
      <c r="A816" s="1">
        <f>HYPERLINK("https://lsnyc.legalserver.org/matter/dynamic-profile/view/1894167","19-1894167")</f>
        <v>0</v>
      </c>
      <c r="B816" t="s">
        <v>17</v>
      </c>
      <c r="C816" t="s">
        <v>25</v>
      </c>
      <c r="D816" t="s">
        <v>136</v>
      </c>
      <c r="E816" t="s">
        <v>2385</v>
      </c>
      <c r="F816" t="s">
        <v>2438</v>
      </c>
      <c r="I816" t="s">
        <v>2446</v>
      </c>
      <c r="J816" t="s">
        <v>2450</v>
      </c>
      <c r="K816" t="s">
        <v>2569</v>
      </c>
      <c r="M816" t="s">
        <v>2616</v>
      </c>
    </row>
    <row r="817" spans="1:13">
      <c r="A817" s="1">
        <f>HYPERLINK("https://lsnyc.legalserver.org/matter/dynamic-profile/view/1895207","19-1895207")</f>
        <v>0</v>
      </c>
      <c r="B817" t="s">
        <v>16</v>
      </c>
      <c r="C817" t="s">
        <v>46</v>
      </c>
      <c r="D817" t="s">
        <v>747</v>
      </c>
      <c r="E817" t="s">
        <v>2387</v>
      </c>
      <c r="F817" t="s">
        <v>2437</v>
      </c>
      <c r="I817" t="s">
        <v>2446</v>
      </c>
      <c r="J817" t="s">
        <v>2511</v>
      </c>
      <c r="K817" t="s">
        <v>2582</v>
      </c>
      <c r="M817" t="s">
        <v>2629</v>
      </c>
    </row>
    <row r="818" spans="1:13">
      <c r="A818" s="1">
        <f>HYPERLINK("https://lsnyc.legalserver.org/matter/dynamic-profile/view/1895269","19-1895269")</f>
        <v>0</v>
      </c>
      <c r="B818" t="s">
        <v>14</v>
      </c>
      <c r="C818" t="s">
        <v>33</v>
      </c>
      <c r="D818" t="s">
        <v>748</v>
      </c>
      <c r="E818" t="s">
        <v>2403</v>
      </c>
      <c r="F818" t="s">
        <v>2441</v>
      </c>
      <c r="I818" t="s">
        <v>2446</v>
      </c>
      <c r="J818" t="s">
        <v>2450</v>
      </c>
      <c r="K818" t="s">
        <v>2569</v>
      </c>
      <c r="M818" t="s">
        <v>2639</v>
      </c>
    </row>
    <row r="819" spans="1:13">
      <c r="A819" s="1">
        <f>HYPERLINK("https://lsnyc.legalserver.org/matter/dynamic-profile/view/1895281","19-1895281")</f>
        <v>0</v>
      </c>
      <c r="B819" t="s">
        <v>14</v>
      </c>
      <c r="C819" t="s">
        <v>33</v>
      </c>
      <c r="D819" t="s">
        <v>749</v>
      </c>
      <c r="E819" t="s">
        <v>2376</v>
      </c>
      <c r="F819" t="s">
        <v>2437</v>
      </c>
      <c r="I819" t="s">
        <v>2446</v>
      </c>
      <c r="J819" t="s">
        <v>2450</v>
      </c>
      <c r="M819" t="s">
        <v>2618</v>
      </c>
    </row>
    <row r="820" spans="1:13">
      <c r="A820" s="1">
        <f>HYPERLINK("https://lsnyc.legalserver.org/matter/dynamic-profile/view/1895302","19-1895302")</f>
        <v>0</v>
      </c>
      <c r="B820" t="s">
        <v>16</v>
      </c>
      <c r="C820" t="s">
        <v>23</v>
      </c>
      <c r="D820" t="s">
        <v>750</v>
      </c>
      <c r="E820" t="s">
        <v>2385</v>
      </c>
      <c r="F820" t="s">
        <v>2437</v>
      </c>
      <c r="I820" t="s">
        <v>2446</v>
      </c>
      <c r="J820" t="s">
        <v>2449</v>
      </c>
      <c r="K820" t="s">
        <v>2569</v>
      </c>
      <c r="M820" t="s">
        <v>2616</v>
      </c>
    </row>
    <row r="821" spans="1:13">
      <c r="A821" s="1">
        <f>HYPERLINK("https://lsnyc.legalserver.org/matter/dynamic-profile/view/1895310","19-1895310")</f>
        <v>0</v>
      </c>
      <c r="B821" t="s">
        <v>16</v>
      </c>
      <c r="C821" t="s">
        <v>23</v>
      </c>
      <c r="D821" t="s">
        <v>751</v>
      </c>
      <c r="E821" t="s">
        <v>2374</v>
      </c>
      <c r="F821" t="s">
        <v>2437</v>
      </c>
      <c r="I821" t="s">
        <v>2446</v>
      </c>
      <c r="J821" t="s">
        <v>2449</v>
      </c>
      <c r="K821" t="s">
        <v>2569</v>
      </c>
      <c r="M821" t="s">
        <v>2616</v>
      </c>
    </row>
    <row r="822" spans="1:13">
      <c r="A822" s="1">
        <f>HYPERLINK("https://lsnyc.legalserver.org/matter/dynamic-profile/view/1895345","19-1895345")</f>
        <v>0</v>
      </c>
      <c r="B822" t="s">
        <v>18</v>
      </c>
      <c r="C822" t="s">
        <v>27</v>
      </c>
      <c r="D822" t="s">
        <v>752</v>
      </c>
      <c r="E822" t="s">
        <v>2375</v>
      </c>
      <c r="F822" t="s">
        <v>2437</v>
      </c>
      <c r="J822" t="s">
        <v>2488</v>
      </c>
      <c r="K822" t="s">
        <v>2569</v>
      </c>
      <c r="M822" t="s">
        <v>2617</v>
      </c>
    </row>
    <row r="823" spans="1:13">
      <c r="A823" s="1">
        <f>HYPERLINK("https://lsnyc.legalserver.org/matter/dynamic-profile/view/1895360","19-1895360")</f>
        <v>0</v>
      </c>
      <c r="B823" t="s">
        <v>16</v>
      </c>
      <c r="C823" t="s">
        <v>64</v>
      </c>
      <c r="D823" t="s">
        <v>753</v>
      </c>
      <c r="E823" t="s">
        <v>2385</v>
      </c>
      <c r="F823" t="s">
        <v>2438</v>
      </c>
      <c r="I823" t="s">
        <v>2446</v>
      </c>
      <c r="J823" t="s">
        <v>2450</v>
      </c>
      <c r="K823" t="s">
        <v>2569</v>
      </c>
      <c r="M823" t="s">
        <v>2616</v>
      </c>
    </row>
    <row r="824" spans="1:13">
      <c r="A824" s="1">
        <f>HYPERLINK("https://lsnyc.legalserver.org/matter/dynamic-profile/view/1895362","19-1895362")</f>
        <v>0</v>
      </c>
      <c r="B824" t="s">
        <v>14</v>
      </c>
      <c r="C824" t="s">
        <v>33</v>
      </c>
      <c r="D824" t="s">
        <v>746</v>
      </c>
      <c r="E824" t="s">
        <v>2385</v>
      </c>
      <c r="F824" t="s">
        <v>2438</v>
      </c>
      <c r="I824" t="s">
        <v>2446</v>
      </c>
      <c r="J824" t="s">
        <v>2450</v>
      </c>
      <c r="M824" t="s">
        <v>2616</v>
      </c>
    </row>
    <row r="825" spans="1:13">
      <c r="A825" s="1">
        <f>HYPERLINK("https://lsnyc.legalserver.org/matter/dynamic-profile/view/1895366","19-1895366")</f>
        <v>0</v>
      </c>
      <c r="B825" t="s">
        <v>16</v>
      </c>
      <c r="C825" t="s">
        <v>64</v>
      </c>
      <c r="D825" t="s">
        <v>754</v>
      </c>
      <c r="E825" t="s">
        <v>2385</v>
      </c>
      <c r="F825" t="s">
        <v>2438</v>
      </c>
      <c r="I825" t="s">
        <v>2446</v>
      </c>
      <c r="J825" t="s">
        <v>2450</v>
      </c>
      <c r="K825" t="s">
        <v>2569</v>
      </c>
      <c r="M825" t="s">
        <v>2616</v>
      </c>
    </row>
    <row r="826" spans="1:13">
      <c r="A826" s="1">
        <f>HYPERLINK("https://lsnyc.legalserver.org/matter/dynamic-profile/view/1895373","19-1895373")</f>
        <v>0</v>
      </c>
      <c r="B826" t="s">
        <v>14</v>
      </c>
      <c r="C826" t="s">
        <v>33</v>
      </c>
      <c r="D826" t="s">
        <v>755</v>
      </c>
      <c r="E826" t="s">
        <v>2403</v>
      </c>
      <c r="F826" t="s">
        <v>2441</v>
      </c>
      <c r="G826" t="s">
        <v>2444</v>
      </c>
      <c r="I826" t="s">
        <v>2446</v>
      </c>
      <c r="J826" t="s">
        <v>2450</v>
      </c>
      <c r="K826" t="s">
        <v>2569</v>
      </c>
      <c r="M826" t="s">
        <v>2639</v>
      </c>
    </row>
    <row r="827" spans="1:13">
      <c r="A827" s="1">
        <f>HYPERLINK("https://lsnyc.legalserver.org/matter/dynamic-profile/view/1895378","19-1895378")</f>
        <v>0</v>
      </c>
      <c r="B827" t="s">
        <v>14</v>
      </c>
      <c r="C827" t="s">
        <v>33</v>
      </c>
      <c r="D827" t="s">
        <v>756</v>
      </c>
      <c r="E827" t="s">
        <v>2376</v>
      </c>
      <c r="F827" t="s">
        <v>2437</v>
      </c>
      <c r="I827" t="s">
        <v>2446</v>
      </c>
      <c r="J827" t="s">
        <v>2450</v>
      </c>
      <c r="K827" t="s">
        <v>2569</v>
      </c>
      <c r="M827" t="s">
        <v>2618</v>
      </c>
    </row>
    <row r="828" spans="1:13">
      <c r="A828" s="1">
        <f>HYPERLINK("https://lsnyc.legalserver.org/matter/dynamic-profile/view/1895381","19-1895381")</f>
        <v>0</v>
      </c>
      <c r="B828" t="s">
        <v>14</v>
      </c>
      <c r="C828" t="s">
        <v>33</v>
      </c>
      <c r="D828" t="s">
        <v>757</v>
      </c>
      <c r="E828" t="s">
        <v>2376</v>
      </c>
      <c r="F828" t="s">
        <v>2437</v>
      </c>
      <c r="I828" t="s">
        <v>2446</v>
      </c>
      <c r="J828" t="s">
        <v>2450</v>
      </c>
      <c r="K828" t="s">
        <v>2569</v>
      </c>
      <c r="M828" t="s">
        <v>2618</v>
      </c>
    </row>
    <row r="829" spans="1:13">
      <c r="A829" s="1">
        <f>HYPERLINK("https://lsnyc.legalserver.org/matter/dynamic-profile/view/1895389","19-1895389")</f>
        <v>0</v>
      </c>
      <c r="B829" t="s">
        <v>14</v>
      </c>
      <c r="C829" t="s">
        <v>33</v>
      </c>
      <c r="D829" t="s">
        <v>758</v>
      </c>
      <c r="E829" t="s">
        <v>2405</v>
      </c>
      <c r="F829" t="s">
        <v>2437</v>
      </c>
      <c r="I829" t="s">
        <v>2446</v>
      </c>
      <c r="J829" t="s">
        <v>2452</v>
      </c>
      <c r="K829" t="s">
        <v>2572</v>
      </c>
      <c r="M829" t="s">
        <v>2613</v>
      </c>
    </row>
    <row r="830" spans="1:13">
      <c r="A830" s="1">
        <f>HYPERLINK("https://lsnyc.legalserver.org/matter/dynamic-profile/view/1895398","19-1895398")</f>
        <v>0</v>
      </c>
      <c r="B830" t="s">
        <v>14</v>
      </c>
      <c r="C830" t="s">
        <v>33</v>
      </c>
      <c r="D830" t="s">
        <v>759</v>
      </c>
      <c r="E830" t="s">
        <v>2418</v>
      </c>
      <c r="F830" t="s">
        <v>2438</v>
      </c>
      <c r="I830" t="s">
        <v>2446</v>
      </c>
      <c r="J830" t="s">
        <v>2450</v>
      </c>
      <c r="K830" t="s">
        <v>2569</v>
      </c>
      <c r="M830" t="s">
        <v>2617</v>
      </c>
    </row>
    <row r="831" spans="1:13">
      <c r="A831" s="1">
        <f>HYPERLINK("https://lsnyc.legalserver.org/matter/dynamic-profile/view/1895399","19-1895399")</f>
        <v>0</v>
      </c>
      <c r="B831" t="s">
        <v>14</v>
      </c>
      <c r="C831" t="s">
        <v>33</v>
      </c>
      <c r="D831" t="s">
        <v>760</v>
      </c>
      <c r="E831" t="s">
        <v>2418</v>
      </c>
      <c r="F831" t="s">
        <v>2437</v>
      </c>
      <c r="I831" t="s">
        <v>2446</v>
      </c>
      <c r="J831" t="s">
        <v>2450</v>
      </c>
      <c r="K831" t="s">
        <v>2569</v>
      </c>
      <c r="M831" t="s">
        <v>2617</v>
      </c>
    </row>
    <row r="832" spans="1:13">
      <c r="A832" s="1">
        <f>HYPERLINK("https://lsnyc.legalserver.org/matter/dynamic-profile/view/1895400","19-1895400")</f>
        <v>0</v>
      </c>
      <c r="B832" t="s">
        <v>14</v>
      </c>
      <c r="C832" t="s">
        <v>33</v>
      </c>
      <c r="D832" t="s">
        <v>759</v>
      </c>
      <c r="E832" t="s">
        <v>2376</v>
      </c>
      <c r="F832" t="s">
        <v>2437</v>
      </c>
      <c r="I832" t="s">
        <v>2446</v>
      </c>
      <c r="J832" t="s">
        <v>2450</v>
      </c>
      <c r="K832" t="s">
        <v>2569</v>
      </c>
      <c r="M832" t="s">
        <v>2618</v>
      </c>
    </row>
    <row r="833" spans="1:14">
      <c r="A833" s="1">
        <f>HYPERLINK("https://lsnyc.legalserver.org/matter/dynamic-profile/view/1895402","19-1895402")</f>
        <v>0</v>
      </c>
      <c r="B833" t="s">
        <v>14</v>
      </c>
      <c r="C833" t="s">
        <v>33</v>
      </c>
      <c r="D833" t="s">
        <v>760</v>
      </c>
      <c r="E833" t="s">
        <v>2376</v>
      </c>
      <c r="F833" t="s">
        <v>2437</v>
      </c>
      <c r="I833" t="s">
        <v>2446</v>
      </c>
      <c r="J833" t="s">
        <v>2450</v>
      </c>
      <c r="K833" t="s">
        <v>2569</v>
      </c>
      <c r="M833" t="s">
        <v>2618</v>
      </c>
    </row>
    <row r="834" spans="1:14">
      <c r="A834" s="1">
        <f>HYPERLINK("https://lsnyc.legalserver.org/matter/dynamic-profile/view/1895434","19-1895434")</f>
        <v>0</v>
      </c>
      <c r="B834" t="s">
        <v>17</v>
      </c>
      <c r="C834" t="s">
        <v>28</v>
      </c>
      <c r="D834" t="s">
        <v>761</v>
      </c>
      <c r="E834" t="s">
        <v>2385</v>
      </c>
      <c r="F834" t="s">
        <v>2438</v>
      </c>
      <c r="I834" t="s">
        <v>2446</v>
      </c>
      <c r="J834" t="s">
        <v>2454</v>
      </c>
      <c r="K834" t="s">
        <v>2572</v>
      </c>
      <c r="L834" t="s">
        <v>2600</v>
      </c>
      <c r="M834" t="s">
        <v>2616</v>
      </c>
    </row>
    <row r="835" spans="1:14">
      <c r="A835" s="1">
        <f>HYPERLINK("https://lsnyc.legalserver.org/matter/dynamic-profile/view/1895195","19-1895195")</f>
        <v>0</v>
      </c>
      <c r="B835" t="s">
        <v>18</v>
      </c>
      <c r="C835" t="s">
        <v>35</v>
      </c>
      <c r="D835" t="s">
        <v>762</v>
      </c>
      <c r="E835" t="s">
        <v>2393</v>
      </c>
      <c r="F835" t="s">
        <v>2437</v>
      </c>
      <c r="J835" t="s">
        <v>2448</v>
      </c>
      <c r="K835" t="s">
        <v>2572</v>
      </c>
      <c r="L835" t="s">
        <v>2603</v>
      </c>
      <c r="M835" t="s">
        <v>2637</v>
      </c>
    </row>
    <row r="836" spans="1:14">
      <c r="A836" s="1">
        <f>HYPERLINK("https://lsnyc.legalserver.org/matter/dynamic-profile/view/1894732","19-1894732")</f>
        <v>0</v>
      </c>
      <c r="B836" t="s">
        <v>15</v>
      </c>
      <c r="C836" t="s">
        <v>22</v>
      </c>
      <c r="D836" t="s">
        <v>415</v>
      </c>
      <c r="E836" t="s">
        <v>2374</v>
      </c>
      <c r="F836" t="s">
        <v>2438</v>
      </c>
      <c r="J836" t="s">
        <v>2450</v>
      </c>
      <c r="K836" t="s">
        <v>2569</v>
      </c>
      <c r="M836" t="s">
        <v>2616</v>
      </c>
    </row>
    <row r="837" spans="1:14">
      <c r="A837" s="1">
        <f>HYPERLINK("https://lsnyc.legalserver.org/matter/dynamic-profile/view/1895126","19-1895126")</f>
        <v>0</v>
      </c>
      <c r="B837" t="s">
        <v>16</v>
      </c>
      <c r="C837" t="s">
        <v>46</v>
      </c>
      <c r="D837" t="s">
        <v>763</v>
      </c>
      <c r="E837" t="s">
        <v>2390</v>
      </c>
      <c r="F837" t="s">
        <v>2437</v>
      </c>
      <c r="J837" t="s">
        <v>2485</v>
      </c>
      <c r="K837" t="s">
        <v>2572</v>
      </c>
      <c r="M837" t="s">
        <v>2619</v>
      </c>
    </row>
    <row r="838" spans="1:14">
      <c r="A838" s="1">
        <f>HYPERLINK("https://lsnyc.legalserver.org/matter/dynamic-profile/view/1895217","19-1895217")</f>
        <v>0</v>
      </c>
      <c r="B838" t="s">
        <v>18</v>
      </c>
      <c r="C838" t="s">
        <v>34</v>
      </c>
      <c r="D838" t="s">
        <v>617</v>
      </c>
      <c r="E838" t="s">
        <v>2374</v>
      </c>
      <c r="F838" t="s">
        <v>2438</v>
      </c>
      <c r="J838" t="s">
        <v>2450</v>
      </c>
      <c r="K838" t="s">
        <v>2569</v>
      </c>
      <c r="M838" t="s">
        <v>2616</v>
      </c>
    </row>
    <row r="839" spans="1:14">
      <c r="A839" s="1">
        <f>HYPERLINK("https://lsnyc.legalserver.org/matter/dynamic-profile/view/1894459","19-1894459")</f>
        <v>0</v>
      </c>
      <c r="B839" t="s">
        <v>17</v>
      </c>
      <c r="C839" t="s">
        <v>25</v>
      </c>
      <c r="D839" t="s">
        <v>764</v>
      </c>
      <c r="E839" t="s">
        <v>2386</v>
      </c>
      <c r="F839" t="s">
        <v>2439</v>
      </c>
      <c r="I839" t="s">
        <v>2446</v>
      </c>
      <c r="J839" t="s">
        <v>2454</v>
      </c>
      <c r="K839" t="s">
        <v>2572</v>
      </c>
      <c r="L839" t="s">
        <v>2601</v>
      </c>
      <c r="M839" t="s">
        <v>2631</v>
      </c>
    </row>
    <row r="840" spans="1:14">
      <c r="A840" s="1">
        <f>HYPERLINK("https://lsnyc.legalserver.org/matter/dynamic-profile/view/1895059","19-1895059")</f>
        <v>0</v>
      </c>
      <c r="B840" t="s">
        <v>19</v>
      </c>
      <c r="C840" t="s">
        <v>38</v>
      </c>
      <c r="D840" t="s">
        <v>765</v>
      </c>
      <c r="E840" t="s">
        <v>2378</v>
      </c>
      <c r="F840" t="s">
        <v>2437</v>
      </c>
      <c r="I840" t="s">
        <v>2446</v>
      </c>
      <c r="J840" t="s">
        <v>2477</v>
      </c>
      <c r="L840" t="s">
        <v>2605</v>
      </c>
      <c r="M840" t="s">
        <v>2619</v>
      </c>
      <c r="N840" t="s">
        <v>2648</v>
      </c>
    </row>
    <row r="841" spans="1:14">
      <c r="A841" s="1">
        <f>HYPERLINK("https://lsnyc.legalserver.org/matter/dynamic-profile/view/1893054","19-1893054")</f>
        <v>0</v>
      </c>
      <c r="B841" t="s">
        <v>16</v>
      </c>
      <c r="C841" t="s">
        <v>23</v>
      </c>
      <c r="D841" t="s">
        <v>766</v>
      </c>
      <c r="E841" t="s">
        <v>2374</v>
      </c>
      <c r="F841" t="s">
        <v>2438</v>
      </c>
      <c r="I841" t="s">
        <v>2446</v>
      </c>
      <c r="J841" t="s">
        <v>2465</v>
      </c>
      <c r="K841" t="s">
        <v>2569</v>
      </c>
      <c r="M841" t="s">
        <v>2616</v>
      </c>
    </row>
    <row r="842" spans="1:14">
      <c r="A842" s="1">
        <f>HYPERLINK("https://lsnyc.legalserver.org/matter/dynamic-profile/view/1895070","19-1895070")</f>
        <v>0</v>
      </c>
      <c r="B842" t="s">
        <v>19</v>
      </c>
      <c r="C842" t="s">
        <v>54</v>
      </c>
      <c r="D842" t="s">
        <v>767</v>
      </c>
      <c r="E842" t="s">
        <v>2374</v>
      </c>
      <c r="F842" t="s">
        <v>2438</v>
      </c>
      <c r="I842" t="s">
        <v>2446</v>
      </c>
      <c r="J842" t="s">
        <v>2465</v>
      </c>
      <c r="K842" t="s">
        <v>2569</v>
      </c>
      <c r="L842" t="s">
        <v>2600</v>
      </c>
      <c r="M842" t="s">
        <v>2616</v>
      </c>
    </row>
    <row r="843" spans="1:14">
      <c r="A843" s="1">
        <f>HYPERLINK("https://lsnyc.legalserver.org/matter/dynamic-profile/view/1895072","19-1895072")</f>
        <v>0</v>
      </c>
      <c r="B843" t="s">
        <v>19</v>
      </c>
      <c r="C843" t="s">
        <v>54</v>
      </c>
      <c r="D843" t="s">
        <v>767</v>
      </c>
      <c r="E843" t="s">
        <v>2391</v>
      </c>
      <c r="F843" t="s">
        <v>2438</v>
      </c>
      <c r="I843" t="s">
        <v>2446</v>
      </c>
      <c r="J843" t="s">
        <v>2465</v>
      </c>
      <c r="K843" t="s">
        <v>2569</v>
      </c>
      <c r="L843" t="s">
        <v>2600</v>
      </c>
      <c r="M843" t="s">
        <v>2615</v>
      </c>
    </row>
    <row r="844" spans="1:14">
      <c r="A844" s="1">
        <f>HYPERLINK("https://lsnyc.legalserver.org/matter/dynamic-profile/view/1895083","19-1895083")</f>
        <v>0</v>
      </c>
      <c r="B844" t="s">
        <v>16</v>
      </c>
      <c r="C844" t="s">
        <v>46</v>
      </c>
      <c r="D844" t="s">
        <v>768</v>
      </c>
      <c r="E844" t="s">
        <v>2375</v>
      </c>
      <c r="F844" t="s">
        <v>2437</v>
      </c>
      <c r="I844" t="s">
        <v>2446</v>
      </c>
      <c r="J844" t="s">
        <v>2471</v>
      </c>
      <c r="K844" t="s">
        <v>2572</v>
      </c>
      <c r="L844" t="s">
        <v>2600</v>
      </c>
      <c r="M844" t="s">
        <v>2617</v>
      </c>
    </row>
    <row r="845" spans="1:14">
      <c r="A845" s="1">
        <f>HYPERLINK("https://lsnyc.legalserver.org/matter/dynamic-profile/view/1895102","19-1895102")</f>
        <v>0</v>
      </c>
      <c r="B845" t="s">
        <v>18</v>
      </c>
      <c r="C845" t="s">
        <v>53</v>
      </c>
      <c r="D845" t="s">
        <v>631</v>
      </c>
      <c r="E845" t="s">
        <v>2374</v>
      </c>
      <c r="F845" t="s">
        <v>2438</v>
      </c>
      <c r="I845" t="s">
        <v>2446</v>
      </c>
      <c r="J845" t="s">
        <v>2450</v>
      </c>
      <c r="K845" t="s">
        <v>2569</v>
      </c>
      <c r="M845" t="s">
        <v>2616</v>
      </c>
    </row>
    <row r="846" spans="1:14">
      <c r="A846" s="1">
        <f>HYPERLINK("https://lsnyc.legalserver.org/matter/dynamic-profile/view/1895105","19-1895105")</f>
        <v>0</v>
      </c>
      <c r="B846" t="s">
        <v>16</v>
      </c>
      <c r="C846" t="s">
        <v>24</v>
      </c>
      <c r="D846" t="s">
        <v>769</v>
      </c>
      <c r="E846" t="s">
        <v>2390</v>
      </c>
      <c r="F846" t="s">
        <v>2437</v>
      </c>
      <c r="I846" t="s">
        <v>2446</v>
      </c>
      <c r="J846" t="s">
        <v>2464</v>
      </c>
      <c r="K846" t="s">
        <v>2572</v>
      </c>
      <c r="M846" t="s">
        <v>2619</v>
      </c>
    </row>
    <row r="847" spans="1:14">
      <c r="A847" s="1">
        <f>HYPERLINK("https://lsnyc.legalserver.org/matter/dynamic-profile/view/1895113","19-1895113")</f>
        <v>0</v>
      </c>
      <c r="B847" t="s">
        <v>16</v>
      </c>
      <c r="C847" t="s">
        <v>46</v>
      </c>
      <c r="D847" t="s">
        <v>770</v>
      </c>
      <c r="E847" t="s">
        <v>2387</v>
      </c>
      <c r="F847" t="s">
        <v>2437</v>
      </c>
      <c r="I847" t="s">
        <v>2446</v>
      </c>
      <c r="J847" t="s">
        <v>2465</v>
      </c>
      <c r="K847" t="s">
        <v>2569</v>
      </c>
      <c r="L847" t="s">
        <v>2600</v>
      </c>
      <c r="M847" t="s">
        <v>2629</v>
      </c>
    </row>
    <row r="848" spans="1:14">
      <c r="A848" s="1">
        <f>HYPERLINK("https://lsnyc.legalserver.org/matter/dynamic-profile/view/1894731","19-1894731")</f>
        <v>0</v>
      </c>
      <c r="B848" t="s">
        <v>15</v>
      </c>
      <c r="C848" t="s">
        <v>22</v>
      </c>
      <c r="D848" t="s">
        <v>313</v>
      </c>
      <c r="E848" t="s">
        <v>2385</v>
      </c>
      <c r="F848" t="s">
        <v>2438</v>
      </c>
      <c r="J848" t="s">
        <v>2450</v>
      </c>
      <c r="K848" t="s">
        <v>2569</v>
      </c>
      <c r="M848" t="s">
        <v>2616</v>
      </c>
    </row>
    <row r="849" spans="1:13">
      <c r="A849" s="1">
        <f>HYPERLINK("https://lsnyc.legalserver.org/matter/dynamic-profile/view/1894897","19-1894897")</f>
        <v>0</v>
      </c>
      <c r="B849" t="s">
        <v>19</v>
      </c>
      <c r="C849" t="s">
        <v>54</v>
      </c>
      <c r="D849" t="s">
        <v>771</v>
      </c>
      <c r="E849" t="s">
        <v>2374</v>
      </c>
      <c r="F849" t="s">
        <v>2438</v>
      </c>
      <c r="I849" t="s">
        <v>2446</v>
      </c>
      <c r="J849" t="s">
        <v>2465</v>
      </c>
      <c r="K849" t="s">
        <v>2569</v>
      </c>
      <c r="L849" t="s">
        <v>2600</v>
      </c>
      <c r="M849" t="s">
        <v>2616</v>
      </c>
    </row>
    <row r="850" spans="1:13">
      <c r="A850" s="1">
        <f>HYPERLINK("https://lsnyc.legalserver.org/matter/dynamic-profile/view/1894911","19-1894911")</f>
        <v>0</v>
      </c>
      <c r="B850" t="s">
        <v>18</v>
      </c>
      <c r="C850" t="s">
        <v>27</v>
      </c>
      <c r="D850" t="s">
        <v>772</v>
      </c>
      <c r="E850" t="s">
        <v>2387</v>
      </c>
      <c r="F850" t="s">
        <v>2437</v>
      </c>
      <c r="J850" t="s">
        <v>2457</v>
      </c>
      <c r="K850" t="s">
        <v>2569</v>
      </c>
      <c r="M850" t="s">
        <v>2629</v>
      </c>
    </row>
    <row r="851" spans="1:13">
      <c r="A851" s="1">
        <f>HYPERLINK("https://lsnyc.legalserver.org/matter/dynamic-profile/view/1894743","19-1894743")</f>
        <v>0</v>
      </c>
      <c r="B851" t="s">
        <v>14</v>
      </c>
      <c r="C851" t="s">
        <v>20</v>
      </c>
      <c r="D851" t="s">
        <v>773</v>
      </c>
      <c r="E851" t="s">
        <v>2374</v>
      </c>
      <c r="F851" t="s">
        <v>2438</v>
      </c>
      <c r="I851" t="s">
        <v>2446</v>
      </c>
      <c r="J851" t="s">
        <v>2450</v>
      </c>
      <c r="K851" t="s">
        <v>2569</v>
      </c>
      <c r="L851" t="s">
        <v>2601</v>
      </c>
      <c r="M851" t="s">
        <v>2631</v>
      </c>
    </row>
    <row r="852" spans="1:13">
      <c r="A852" s="1">
        <f>HYPERLINK("https://lsnyc.legalserver.org/matter/dynamic-profile/view/1893223","19-1893223")</f>
        <v>0</v>
      </c>
      <c r="B852" t="s">
        <v>17</v>
      </c>
      <c r="C852" t="s">
        <v>42</v>
      </c>
      <c r="D852" t="s">
        <v>774</v>
      </c>
      <c r="E852" t="s">
        <v>2385</v>
      </c>
      <c r="F852" t="s">
        <v>2439</v>
      </c>
      <c r="I852" t="s">
        <v>2446</v>
      </c>
      <c r="J852" t="s">
        <v>2465</v>
      </c>
      <c r="K852" t="s">
        <v>2569</v>
      </c>
      <c r="L852" t="s">
        <v>2601</v>
      </c>
      <c r="M852" t="s">
        <v>2631</v>
      </c>
    </row>
    <row r="853" spans="1:13">
      <c r="A853" s="1">
        <f>HYPERLINK("https://lsnyc.legalserver.org/matter/dynamic-profile/view/1894749","19-1894749")</f>
        <v>0</v>
      </c>
      <c r="B853" t="s">
        <v>15</v>
      </c>
      <c r="C853" t="s">
        <v>49</v>
      </c>
      <c r="D853" t="s">
        <v>775</v>
      </c>
      <c r="E853" t="s">
        <v>2390</v>
      </c>
      <c r="F853" t="s">
        <v>2437</v>
      </c>
      <c r="I853" t="s">
        <v>2446</v>
      </c>
      <c r="J853" t="s">
        <v>2490</v>
      </c>
      <c r="K853" t="s">
        <v>2572</v>
      </c>
      <c r="M853" t="s">
        <v>2619</v>
      </c>
    </row>
    <row r="854" spans="1:13">
      <c r="A854" s="1">
        <f>HYPERLINK("https://lsnyc.legalserver.org/matter/dynamic-profile/view/1894760","19-1894760")</f>
        <v>0</v>
      </c>
      <c r="B854" t="s">
        <v>15</v>
      </c>
      <c r="C854" t="s">
        <v>29</v>
      </c>
      <c r="D854" t="s">
        <v>776</v>
      </c>
      <c r="E854" t="s">
        <v>2391</v>
      </c>
      <c r="G854" t="s">
        <v>2444</v>
      </c>
      <c r="K854" t="s">
        <v>2572</v>
      </c>
      <c r="M854" t="s">
        <v>2615</v>
      </c>
    </row>
    <row r="855" spans="1:13">
      <c r="A855" s="1">
        <f>HYPERLINK("https://lsnyc.legalserver.org/matter/dynamic-profile/view/1894762","19-1894762")</f>
        <v>0</v>
      </c>
      <c r="B855" t="s">
        <v>15</v>
      </c>
      <c r="C855" t="s">
        <v>29</v>
      </c>
      <c r="D855" t="s">
        <v>776</v>
      </c>
      <c r="E855" t="s">
        <v>2374</v>
      </c>
      <c r="F855" t="s">
        <v>2438</v>
      </c>
      <c r="G855" t="s">
        <v>2444</v>
      </c>
      <c r="I855" t="s">
        <v>2446</v>
      </c>
      <c r="J855" t="s">
        <v>2465</v>
      </c>
      <c r="K855" t="s">
        <v>2572</v>
      </c>
      <c r="M855" t="s">
        <v>2616</v>
      </c>
    </row>
    <row r="856" spans="1:13">
      <c r="A856" s="1">
        <f>HYPERLINK("https://lsnyc.legalserver.org/matter/dynamic-profile/view/1894776","19-1894776")</f>
        <v>0</v>
      </c>
      <c r="B856" t="s">
        <v>16</v>
      </c>
      <c r="C856" t="s">
        <v>23</v>
      </c>
      <c r="D856" t="s">
        <v>777</v>
      </c>
      <c r="E856" t="s">
        <v>2390</v>
      </c>
      <c r="F856" t="s">
        <v>2437</v>
      </c>
      <c r="I856" t="s">
        <v>2446</v>
      </c>
      <c r="J856" t="s">
        <v>2447</v>
      </c>
      <c r="K856" t="s">
        <v>2569</v>
      </c>
      <c r="M856" t="s">
        <v>2619</v>
      </c>
    </row>
    <row r="857" spans="1:13">
      <c r="A857" s="1">
        <f>HYPERLINK("https://lsnyc.legalserver.org/matter/dynamic-profile/view/1894783","19-1894783")</f>
        <v>0</v>
      </c>
      <c r="B857" t="s">
        <v>16</v>
      </c>
      <c r="C857" t="s">
        <v>23</v>
      </c>
      <c r="D857" t="s">
        <v>462</v>
      </c>
      <c r="E857" t="s">
        <v>2375</v>
      </c>
      <c r="F857" t="s">
        <v>2438</v>
      </c>
      <c r="I857" t="s">
        <v>2446</v>
      </c>
      <c r="J857" t="s">
        <v>2449</v>
      </c>
      <c r="K857" t="s">
        <v>2569</v>
      </c>
      <c r="M857" t="s">
        <v>2617</v>
      </c>
    </row>
    <row r="858" spans="1:13">
      <c r="A858" s="1">
        <f>HYPERLINK("https://lsnyc.legalserver.org/matter/dynamic-profile/view/1894803","19-1894803")</f>
        <v>0</v>
      </c>
      <c r="B858" t="s">
        <v>19</v>
      </c>
      <c r="C858" t="s">
        <v>50</v>
      </c>
      <c r="D858" t="s">
        <v>778</v>
      </c>
      <c r="E858" t="s">
        <v>2374</v>
      </c>
      <c r="F858" t="s">
        <v>2438</v>
      </c>
      <c r="J858" t="s">
        <v>2471</v>
      </c>
      <c r="K858" t="s">
        <v>2572</v>
      </c>
      <c r="M858" t="s">
        <v>2616</v>
      </c>
    </row>
    <row r="859" spans="1:13">
      <c r="A859" s="1">
        <f>HYPERLINK("https://lsnyc.legalserver.org/matter/dynamic-profile/view/1894816","19-1894816")</f>
        <v>0</v>
      </c>
      <c r="B859" t="s">
        <v>15</v>
      </c>
      <c r="C859" t="s">
        <v>22</v>
      </c>
      <c r="D859" t="s">
        <v>565</v>
      </c>
      <c r="E859" t="s">
        <v>2374</v>
      </c>
      <c r="F859" t="s">
        <v>2438</v>
      </c>
      <c r="J859" t="s">
        <v>2465</v>
      </c>
      <c r="K859" t="s">
        <v>2569</v>
      </c>
      <c r="M859" t="s">
        <v>2616</v>
      </c>
    </row>
    <row r="860" spans="1:13">
      <c r="A860" s="1">
        <f>HYPERLINK("https://lsnyc.legalserver.org/matter/dynamic-profile/view/1894827","19-1894827")</f>
        <v>0</v>
      </c>
      <c r="B860" t="s">
        <v>16</v>
      </c>
      <c r="C860" t="s">
        <v>46</v>
      </c>
      <c r="D860" t="s">
        <v>779</v>
      </c>
      <c r="E860" t="s">
        <v>2390</v>
      </c>
      <c r="F860" t="s">
        <v>2437</v>
      </c>
      <c r="I860" t="s">
        <v>2446</v>
      </c>
      <c r="J860" t="s">
        <v>2448</v>
      </c>
      <c r="K860" t="s">
        <v>2569</v>
      </c>
      <c r="L860" t="s">
        <v>2600</v>
      </c>
      <c r="M860" t="s">
        <v>2619</v>
      </c>
    </row>
    <row r="861" spans="1:13">
      <c r="A861" s="1">
        <f>HYPERLINK("https://lsnyc.legalserver.org/matter/dynamic-profile/view/1894856","19-1894856")</f>
        <v>0</v>
      </c>
      <c r="B861" t="s">
        <v>16</v>
      </c>
      <c r="C861" t="s">
        <v>23</v>
      </c>
      <c r="D861" t="s">
        <v>463</v>
      </c>
      <c r="E861" t="s">
        <v>2374</v>
      </c>
      <c r="F861" t="s">
        <v>2438</v>
      </c>
      <c r="I861" t="s">
        <v>2446</v>
      </c>
      <c r="J861" t="s">
        <v>2449</v>
      </c>
      <c r="K861" t="s">
        <v>2569</v>
      </c>
      <c r="M861" t="s">
        <v>2616</v>
      </c>
    </row>
    <row r="862" spans="1:13">
      <c r="A862" s="1">
        <f>HYPERLINK("https://lsnyc.legalserver.org/matter/dynamic-profile/view/1894622","19-1894622")</f>
        <v>0</v>
      </c>
      <c r="B862" t="s">
        <v>16</v>
      </c>
      <c r="C862" t="s">
        <v>46</v>
      </c>
      <c r="D862" t="s">
        <v>780</v>
      </c>
      <c r="E862" t="s">
        <v>2393</v>
      </c>
      <c r="F862" t="s">
        <v>2437</v>
      </c>
      <c r="I862" t="s">
        <v>2446</v>
      </c>
      <c r="J862" t="s">
        <v>2447</v>
      </c>
      <c r="K862" t="s">
        <v>2569</v>
      </c>
      <c r="L862" t="s">
        <v>2600</v>
      </c>
      <c r="M862" t="s">
        <v>2637</v>
      </c>
    </row>
    <row r="863" spans="1:13">
      <c r="A863" s="1">
        <f>HYPERLINK("https://lsnyc.legalserver.org/matter/dynamic-profile/view/1894648","19-1894648")</f>
        <v>0</v>
      </c>
      <c r="B863" t="s">
        <v>19</v>
      </c>
      <c r="C863" t="s">
        <v>54</v>
      </c>
      <c r="D863" t="s">
        <v>514</v>
      </c>
      <c r="E863" t="s">
        <v>2374</v>
      </c>
      <c r="F863" t="s">
        <v>2437</v>
      </c>
      <c r="I863" t="s">
        <v>2446</v>
      </c>
      <c r="J863" t="s">
        <v>2449</v>
      </c>
      <c r="K863" t="s">
        <v>2569</v>
      </c>
      <c r="L863" t="s">
        <v>2600</v>
      </c>
      <c r="M863" t="s">
        <v>2616</v>
      </c>
    </row>
    <row r="864" spans="1:13">
      <c r="A864" s="1">
        <f>HYPERLINK("https://lsnyc.legalserver.org/matter/dynamic-profile/view/1894676","19-1894676")</f>
        <v>0</v>
      </c>
      <c r="B864" t="s">
        <v>16</v>
      </c>
      <c r="C864" t="s">
        <v>23</v>
      </c>
      <c r="D864" t="s">
        <v>781</v>
      </c>
      <c r="E864" t="s">
        <v>2390</v>
      </c>
      <c r="F864" t="s">
        <v>2437</v>
      </c>
      <c r="I864" t="s">
        <v>2446</v>
      </c>
      <c r="J864" t="s">
        <v>2450</v>
      </c>
      <c r="K864" t="s">
        <v>2569</v>
      </c>
      <c r="M864" t="s">
        <v>2619</v>
      </c>
    </row>
    <row r="865" spans="1:14">
      <c r="A865" s="1">
        <f>HYPERLINK("https://lsnyc.legalserver.org/matter/dynamic-profile/view/1894474","19-1894474")</f>
        <v>0</v>
      </c>
      <c r="B865" t="s">
        <v>16</v>
      </c>
      <c r="C865" t="s">
        <v>24</v>
      </c>
      <c r="D865" t="s">
        <v>782</v>
      </c>
      <c r="E865" t="s">
        <v>2390</v>
      </c>
      <c r="F865" t="s">
        <v>2437</v>
      </c>
      <c r="I865" t="s">
        <v>2446</v>
      </c>
      <c r="J865" t="s">
        <v>2477</v>
      </c>
      <c r="K865" t="s">
        <v>2569</v>
      </c>
      <c r="L865" t="s">
        <v>2601</v>
      </c>
      <c r="M865" t="s">
        <v>2631</v>
      </c>
    </row>
    <row r="866" spans="1:14">
      <c r="A866" s="1">
        <f>HYPERLINK("https://lsnyc.legalserver.org/matter/dynamic-profile/view/1894523","19-1894523")</f>
        <v>0</v>
      </c>
      <c r="B866" t="s">
        <v>19</v>
      </c>
      <c r="C866" t="s">
        <v>65</v>
      </c>
      <c r="D866" t="s">
        <v>783</v>
      </c>
      <c r="E866" t="s">
        <v>2375</v>
      </c>
      <c r="F866" t="s">
        <v>2437</v>
      </c>
      <c r="J866" t="s">
        <v>2453</v>
      </c>
      <c r="K866" t="s">
        <v>2588</v>
      </c>
      <c r="L866" t="s">
        <v>2600</v>
      </c>
      <c r="M866" t="s">
        <v>2617</v>
      </c>
    </row>
    <row r="867" spans="1:14">
      <c r="A867" s="1">
        <f>HYPERLINK("https://lsnyc.legalserver.org/matter/dynamic-profile/view/1894578","19-1894578")</f>
        <v>0</v>
      </c>
      <c r="B867" t="s">
        <v>16</v>
      </c>
      <c r="C867" t="s">
        <v>24</v>
      </c>
      <c r="D867" t="s">
        <v>784</v>
      </c>
      <c r="E867" t="s">
        <v>2390</v>
      </c>
      <c r="F867" t="s">
        <v>2437</v>
      </c>
      <c r="I867" t="s">
        <v>2446</v>
      </c>
      <c r="J867" t="s">
        <v>2448</v>
      </c>
      <c r="K867" t="s">
        <v>2569</v>
      </c>
      <c r="M867" t="s">
        <v>2619</v>
      </c>
    </row>
    <row r="868" spans="1:14">
      <c r="A868" s="1">
        <f>HYPERLINK("https://lsnyc.legalserver.org/matter/dynamic-profile/view/1894601","19-1894601")</f>
        <v>0</v>
      </c>
      <c r="B868" t="s">
        <v>19</v>
      </c>
      <c r="C868" t="s">
        <v>54</v>
      </c>
      <c r="D868" t="s">
        <v>785</v>
      </c>
      <c r="E868" t="s">
        <v>2374</v>
      </c>
      <c r="F868" t="s">
        <v>2438</v>
      </c>
      <c r="I868" t="s">
        <v>2446</v>
      </c>
      <c r="J868" t="s">
        <v>2452</v>
      </c>
      <c r="K868" t="s">
        <v>2572</v>
      </c>
      <c r="M868" t="s">
        <v>2616</v>
      </c>
    </row>
    <row r="869" spans="1:14">
      <c r="A869" s="1">
        <f>HYPERLINK("https://lsnyc.legalserver.org/matter/dynamic-profile/view/1894332","19-1894332")</f>
        <v>0</v>
      </c>
      <c r="B869" t="s">
        <v>18</v>
      </c>
      <c r="C869" t="s">
        <v>35</v>
      </c>
      <c r="D869" t="s">
        <v>786</v>
      </c>
      <c r="E869" t="s">
        <v>2393</v>
      </c>
      <c r="F869" t="s">
        <v>2440</v>
      </c>
      <c r="J869" t="s">
        <v>2447</v>
      </c>
      <c r="K869" t="s">
        <v>2569</v>
      </c>
      <c r="L869" t="s">
        <v>2600</v>
      </c>
      <c r="M869" t="s">
        <v>2631</v>
      </c>
    </row>
    <row r="870" spans="1:14">
      <c r="A870" s="1">
        <f>HYPERLINK("https://lsnyc.legalserver.org/matter/dynamic-profile/view/1894329","19-1894329")</f>
        <v>0</v>
      </c>
      <c r="B870" t="s">
        <v>18</v>
      </c>
      <c r="C870" t="s">
        <v>35</v>
      </c>
      <c r="D870" t="s">
        <v>787</v>
      </c>
      <c r="E870" t="s">
        <v>2393</v>
      </c>
      <c r="F870" t="s">
        <v>2440</v>
      </c>
      <c r="J870" t="s">
        <v>2448</v>
      </c>
      <c r="K870" t="s">
        <v>2569</v>
      </c>
      <c r="L870" t="s">
        <v>2600</v>
      </c>
      <c r="M870" t="s">
        <v>2631</v>
      </c>
    </row>
    <row r="871" spans="1:14">
      <c r="A871" s="1">
        <f>HYPERLINK("https://lsnyc.legalserver.org/matter/dynamic-profile/view/1894328","19-1894328")</f>
        <v>0</v>
      </c>
      <c r="B871" t="s">
        <v>15</v>
      </c>
      <c r="C871" t="s">
        <v>22</v>
      </c>
      <c r="D871" t="s">
        <v>788</v>
      </c>
      <c r="E871" t="s">
        <v>2385</v>
      </c>
      <c r="F871" t="s">
        <v>2440</v>
      </c>
      <c r="I871" t="s">
        <v>2446</v>
      </c>
      <c r="J871" t="s">
        <v>2449</v>
      </c>
      <c r="K871" t="s">
        <v>2569</v>
      </c>
      <c r="L871" t="s">
        <v>2602</v>
      </c>
      <c r="M871" t="s">
        <v>2631</v>
      </c>
    </row>
    <row r="872" spans="1:14">
      <c r="A872" s="1">
        <f>HYPERLINK("https://lsnyc.legalserver.org/matter/dynamic-profile/view/1894276","19-1894276")</f>
        <v>0</v>
      </c>
      <c r="B872" t="s">
        <v>19</v>
      </c>
      <c r="C872" t="s">
        <v>47</v>
      </c>
      <c r="D872" t="s">
        <v>789</v>
      </c>
      <c r="E872" t="s">
        <v>2419</v>
      </c>
      <c r="F872" t="s">
        <v>2437</v>
      </c>
      <c r="J872" t="s">
        <v>2476</v>
      </c>
      <c r="K872" t="s">
        <v>2572</v>
      </c>
      <c r="L872" t="s">
        <v>2605</v>
      </c>
      <c r="M872" t="s">
        <v>2633</v>
      </c>
    </row>
    <row r="873" spans="1:14">
      <c r="A873" s="1">
        <f>HYPERLINK("https://lsnyc.legalserver.org/matter/dynamic-profile/view/1894284","19-1894284")</f>
        <v>0</v>
      </c>
      <c r="B873" t="s">
        <v>19</v>
      </c>
      <c r="C873" t="s">
        <v>47</v>
      </c>
      <c r="D873" t="s">
        <v>790</v>
      </c>
      <c r="E873" t="s">
        <v>2419</v>
      </c>
      <c r="F873" t="s">
        <v>2437</v>
      </c>
      <c r="J873" t="s">
        <v>2476</v>
      </c>
      <c r="K873" t="s">
        <v>2572</v>
      </c>
      <c r="L873" t="s">
        <v>2605</v>
      </c>
      <c r="M873" t="s">
        <v>2633</v>
      </c>
    </row>
    <row r="874" spans="1:14">
      <c r="A874" s="1">
        <f>HYPERLINK("https://lsnyc.legalserver.org/matter/dynamic-profile/view/1894287","19-1894287")</f>
        <v>0</v>
      </c>
      <c r="B874" t="s">
        <v>19</v>
      </c>
      <c r="C874" t="s">
        <v>50</v>
      </c>
      <c r="D874" t="s">
        <v>791</v>
      </c>
      <c r="E874" t="s">
        <v>2419</v>
      </c>
      <c r="F874" t="s">
        <v>2437</v>
      </c>
      <c r="J874" t="s">
        <v>2488</v>
      </c>
      <c r="K874" t="s">
        <v>2569</v>
      </c>
      <c r="L874" t="s">
        <v>2600</v>
      </c>
      <c r="M874" t="s">
        <v>2633</v>
      </c>
    </row>
    <row r="875" spans="1:14">
      <c r="A875" s="1">
        <f>HYPERLINK("https://lsnyc.legalserver.org/matter/dynamic-profile/view/1894293","19-1894293")</f>
        <v>0</v>
      </c>
      <c r="B875" t="s">
        <v>17</v>
      </c>
      <c r="C875" t="s">
        <v>28</v>
      </c>
      <c r="D875" t="s">
        <v>792</v>
      </c>
      <c r="E875" t="s">
        <v>2376</v>
      </c>
      <c r="F875" t="s">
        <v>2437</v>
      </c>
      <c r="I875" t="s">
        <v>2446</v>
      </c>
      <c r="J875" t="s">
        <v>2449</v>
      </c>
      <c r="K875" t="s">
        <v>2569</v>
      </c>
      <c r="L875" t="s">
        <v>2604</v>
      </c>
      <c r="M875" t="s">
        <v>2618</v>
      </c>
    </row>
    <row r="876" spans="1:14">
      <c r="A876" s="1">
        <f>HYPERLINK("https://lsnyc.legalserver.org/matter/dynamic-profile/view/1894194","19-1894194")</f>
        <v>0</v>
      </c>
      <c r="B876" t="s">
        <v>15</v>
      </c>
      <c r="C876" t="s">
        <v>22</v>
      </c>
      <c r="D876" t="s">
        <v>398</v>
      </c>
      <c r="E876" t="s">
        <v>2391</v>
      </c>
      <c r="F876" t="s">
        <v>2437</v>
      </c>
      <c r="J876" t="s">
        <v>2455</v>
      </c>
      <c r="K876" t="s">
        <v>2569</v>
      </c>
      <c r="M876" t="s">
        <v>2615</v>
      </c>
    </row>
    <row r="877" spans="1:14">
      <c r="A877" s="1">
        <f>HYPERLINK("https://lsnyc.legalserver.org/matter/dynamic-profile/view/1894212","19-1894212")</f>
        <v>0</v>
      </c>
      <c r="B877" t="s">
        <v>15</v>
      </c>
      <c r="C877" t="s">
        <v>22</v>
      </c>
      <c r="D877" t="s">
        <v>793</v>
      </c>
      <c r="E877" t="s">
        <v>2375</v>
      </c>
      <c r="F877" t="s">
        <v>2437</v>
      </c>
      <c r="I877" t="s">
        <v>2446</v>
      </c>
      <c r="J877" t="s">
        <v>2488</v>
      </c>
      <c r="K877" t="s">
        <v>2569</v>
      </c>
      <c r="M877" t="s">
        <v>2617</v>
      </c>
    </row>
    <row r="878" spans="1:14">
      <c r="A878" s="1">
        <f>HYPERLINK("https://lsnyc.legalserver.org/matter/dynamic-profile/view/1894298","19-1894298")</f>
        <v>0</v>
      </c>
      <c r="B878" t="s">
        <v>17</v>
      </c>
      <c r="C878" t="s">
        <v>28</v>
      </c>
      <c r="D878" t="s">
        <v>794</v>
      </c>
      <c r="E878" t="s">
        <v>2376</v>
      </c>
      <c r="F878" t="s">
        <v>2437</v>
      </c>
      <c r="I878" t="s">
        <v>2446</v>
      </c>
      <c r="J878" t="s">
        <v>2449</v>
      </c>
      <c r="K878" t="s">
        <v>2569</v>
      </c>
      <c r="L878" t="s">
        <v>2600</v>
      </c>
      <c r="M878" t="s">
        <v>2618</v>
      </c>
    </row>
    <row r="879" spans="1:14">
      <c r="A879" s="1">
        <f>HYPERLINK("https://lsnyc.legalserver.org/matter/dynamic-profile/view/1894034","19-1894034")</f>
        <v>0</v>
      </c>
      <c r="B879" t="s">
        <v>19</v>
      </c>
      <c r="C879" t="s">
        <v>38</v>
      </c>
      <c r="D879" t="s">
        <v>795</v>
      </c>
      <c r="E879" t="s">
        <v>2376</v>
      </c>
      <c r="F879" t="s">
        <v>2437</v>
      </c>
      <c r="I879" t="s">
        <v>2446</v>
      </c>
      <c r="J879" t="s">
        <v>2516</v>
      </c>
      <c r="L879" t="s">
        <v>2600</v>
      </c>
      <c r="M879" t="s">
        <v>2618</v>
      </c>
      <c r="N879" t="s">
        <v>2648</v>
      </c>
    </row>
    <row r="880" spans="1:14">
      <c r="A880" s="1">
        <f>HYPERLINK("https://lsnyc.legalserver.org/matter/dynamic-profile/view/1894053","19-1894053")</f>
        <v>0</v>
      </c>
      <c r="B880" t="s">
        <v>16</v>
      </c>
      <c r="C880" t="s">
        <v>46</v>
      </c>
      <c r="D880" t="s">
        <v>796</v>
      </c>
      <c r="E880" t="s">
        <v>2393</v>
      </c>
      <c r="F880" t="s">
        <v>2437</v>
      </c>
      <c r="I880" t="s">
        <v>2446</v>
      </c>
      <c r="J880" t="s">
        <v>2517</v>
      </c>
      <c r="K880" t="s">
        <v>2572</v>
      </c>
      <c r="M880" t="s">
        <v>2637</v>
      </c>
    </row>
    <row r="881" spans="1:14">
      <c r="A881" s="1">
        <f>HYPERLINK("https://lsnyc.legalserver.org/matter/dynamic-profile/view/1894058","19-1894058")</f>
        <v>0</v>
      </c>
      <c r="B881" t="s">
        <v>19</v>
      </c>
      <c r="C881" t="s">
        <v>59</v>
      </c>
      <c r="D881" t="s">
        <v>797</v>
      </c>
      <c r="E881" t="s">
        <v>2376</v>
      </c>
      <c r="F881" t="s">
        <v>2437</v>
      </c>
      <c r="J881" t="s">
        <v>2471</v>
      </c>
      <c r="K881" t="s">
        <v>2571</v>
      </c>
      <c r="L881" t="s">
        <v>2600</v>
      </c>
      <c r="M881" t="s">
        <v>2618</v>
      </c>
    </row>
    <row r="882" spans="1:14">
      <c r="A882" s="1">
        <f>HYPERLINK("https://lsnyc.legalserver.org/matter/dynamic-profile/view/1894092","19-1894092")</f>
        <v>0</v>
      </c>
      <c r="B882" t="s">
        <v>16</v>
      </c>
      <c r="C882" t="s">
        <v>23</v>
      </c>
      <c r="D882" t="s">
        <v>798</v>
      </c>
      <c r="E882" t="s">
        <v>2393</v>
      </c>
      <c r="F882" t="s">
        <v>2437</v>
      </c>
      <c r="J882" t="s">
        <v>2457</v>
      </c>
      <c r="M882" t="s">
        <v>2637</v>
      </c>
    </row>
    <row r="883" spans="1:14">
      <c r="A883" s="1">
        <f>HYPERLINK("https://lsnyc.legalserver.org/matter/dynamic-profile/view/1894096","19-1894096")</f>
        <v>0</v>
      </c>
      <c r="B883" t="s">
        <v>18</v>
      </c>
      <c r="C883" t="s">
        <v>40</v>
      </c>
      <c r="D883" t="s">
        <v>799</v>
      </c>
      <c r="G883" t="s">
        <v>2444</v>
      </c>
      <c r="J883" t="s">
        <v>2448</v>
      </c>
      <c r="K883" t="s">
        <v>2569</v>
      </c>
      <c r="M883" t="s">
        <v>2614</v>
      </c>
    </row>
    <row r="884" spans="1:14">
      <c r="A884" s="1">
        <f>HYPERLINK("https://lsnyc.legalserver.org/matter/dynamic-profile/view/1894097","19-1894097")</f>
        <v>0</v>
      </c>
      <c r="B884" t="s">
        <v>16</v>
      </c>
      <c r="C884" t="s">
        <v>23</v>
      </c>
      <c r="D884" t="s">
        <v>798</v>
      </c>
      <c r="E884" t="s">
        <v>2381</v>
      </c>
      <c r="F884" t="s">
        <v>2437</v>
      </c>
      <c r="I884" t="s">
        <v>2446</v>
      </c>
      <c r="J884" t="s">
        <v>2457</v>
      </c>
      <c r="M884" t="s">
        <v>2622</v>
      </c>
    </row>
    <row r="885" spans="1:14">
      <c r="A885" s="1">
        <f>HYPERLINK("https://lsnyc.legalserver.org/matter/dynamic-profile/view/1894105","19-1894105")</f>
        <v>0</v>
      </c>
      <c r="B885" t="s">
        <v>16</v>
      </c>
      <c r="C885" t="s">
        <v>46</v>
      </c>
      <c r="D885" t="s">
        <v>800</v>
      </c>
      <c r="E885" t="s">
        <v>2393</v>
      </c>
      <c r="F885" t="s">
        <v>2437</v>
      </c>
      <c r="I885" t="s">
        <v>2446</v>
      </c>
      <c r="J885" t="s">
        <v>2518</v>
      </c>
      <c r="K885" t="s">
        <v>2572</v>
      </c>
      <c r="M885" t="s">
        <v>2637</v>
      </c>
    </row>
    <row r="886" spans="1:14">
      <c r="A886" s="1">
        <f>HYPERLINK("https://lsnyc.legalserver.org/matter/dynamic-profile/view/1894148","19-1894148")</f>
        <v>0</v>
      </c>
      <c r="B886" t="s">
        <v>15</v>
      </c>
      <c r="C886" t="s">
        <v>22</v>
      </c>
      <c r="D886" t="s">
        <v>801</v>
      </c>
      <c r="E886" t="s">
        <v>2374</v>
      </c>
      <c r="F886" t="s">
        <v>2438</v>
      </c>
      <c r="J886" t="s">
        <v>2452</v>
      </c>
      <c r="K886" t="s">
        <v>2572</v>
      </c>
      <c r="M886" t="s">
        <v>2626</v>
      </c>
    </row>
    <row r="887" spans="1:14">
      <c r="A887" s="1">
        <f>HYPERLINK("https://lsnyc.legalserver.org/matter/dynamic-profile/view/1894158","19-1894158")</f>
        <v>0</v>
      </c>
      <c r="B887" t="s">
        <v>18</v>
      </c>
      <c r="C887" t="s">
        <v>35</v>
      </c>
      <c r="D887" t="s">
        <v>802</v>
      </c>
      <c r="E887" t="s">
        <v>2412</v>
      </c>
      <c r="F887" t="s">
        <v>2438</v>
      </c>
      <c r="I887" t="s">
        <v>2446</v>
      </c>
      <c r="J887" t="s">
        <v>2477</v>
      </c>
      <c r="K887" t="s">
        <v>2569</v>
      </c>
      <c r="L887" t="s">
        <v>2600</v>
      </c>
      <c r="M887" t="s">
        <v>2616</v>
      </c>
    </row>
    <row r="888" spans="1:14">
      <c r="A888" s="1">
        <f>HYPERLINK("https://lsnyc.legalserver.org/matter/dynamic-profile/view/1894730","19-1894730")</f>
        <v>0</v>
      </c>
      <c r="B888" t="s">
        <v>15</v>
      </c>
      <c r="C888" t="s">
        <v>22</v>
      </c>
      <c r="D888" t="s">
        <v>803</v>
      </c>
      <c r="E888" t="s">
        <v>2387</v>
      </c>
      <c r="F888" t="s">
        <v>2437</v>
      </c>
      <c r="J888" t="s">
        <v>2455</v>
      </c>
      <c r="K888" t="s">
        <v>2569</v>
      </c>
      <c r="M888" t="s">
        <v>2629</v>
      </c>
    </row>
    <row r="889" spans="1:14">
      <c r="A889" s="1">
        <f>HYPERLINK("https://lsnyc.legalserver.org/matter/dynamic-profile/view/1893915","19-1893915")</f>
        <v>0</v>
      </c>
      <c r="B889" t="s">
        <v>19</v>
      </c>
      <c r="C889" t="s">
        <v>38</v>
      </c>
      <c r="D889" t="s">
        <v>804</v>
      </c>
      <c r="E889" t="s">
        <v>2385</v>
      </c>
      <c r="F889" t="s">
        <v>2439</v>
      </c>
      <c r="I889" t="s">
        <v>2446</v>
      </c>
      <c r="J889" t="s">
        <v>2519</v>
      </c>
      <c r="K889" t="s">
        <v>2572</v>
      </c>
      <c r="L889" t="s">
        <v>2601</v>
      </c>
      <c r="M889" t="s">
        <v>2631</v>
      </c>
    </row>
    <row r="890" spans="1:14">
      <c r="A890" s="1">
        <f>HYPERLINK("https://lsnyc.legalserver.org/matter/dynamic-profile/view/1893902","19-1893902")</f>
        <v>0</v>
      </c>
      <c r="B890" t="s">
        <v>18</v>
      </c>
      <c r="C890" t="s">
        <v>40</v>
      </c>
      <c r="D890" t="s">
        <v>805</v>
      </c>
      <c r="G890" t="s">
        <v>2444</v>
      </c>
      <c r="J890" t="s">
        <v>2449</v>
      </c>
      <c r="K890" t="s">
        <v>2569</v>
      </c>
      <c r="L890" t="s">
        <v>2601</v>
      </c>
      <c r="M890" t="s">
        <v>2631</v>
      </c>
    </row>
    <row r="891" spans="1:14">
      <c r="A891" s="1">
        <f>HYPERLINK("https://lsnyc.legalserver.org/matter/dynamic-profile/view/1894325","19-1894325")</f>
        <v>0</v>
      </c>
      <c r="B891" t="s">
        <v>19</v>
      </c>
      <c r="C891" t="s">
        <v>50</v>
      </c>
      <c r="D891" t="s">
        <v>556</v>
      </c>
      <c r="E891" t="s">
        <v>2391</v>
      </c>
      <c r="F891" t="s">
        <v>2437</v>
      </c>
      <c r="I891" t="s">
        <v>2446</v>
      </c>
      <c r="J891" t="s">
        <v>2465</v>
      </c>
      <c r="K891" t="s">
        <v>2569</v>
      </c>
      <c r="L891" t="s">
        <v>2600</v>
      </c>
      <c r="M891" t="s">
        <v>2615</v>
      </c>
    </row>
    <row r="892" spans="1:14">
      <c r="A892" s="1">
        <f>HYPERLINK("https://lsnyc.legalserver.org/matter/dynamic-profile/view/1893839","19-1893839")</f>
        <v>0</v>
      </c>
      <c r="B892" t="s">
        <v>15</v>
      </c>
      <c r="C892" t="s">
        <v>39</v>
      </c>
      <c r="D892" t="s">
        <v>806</v>
      </c>
      <c r="E892" t="s">
        <v>2374</v>
      </c>
      <c r="F892" t="s">
        <v>2439</v>
      </c>
      <c r="I892" t="s">
        <v>2446</v>
      </c>
      <c r="J892" t="s">
        <v>2488</v>
      </c>
      <c r="K892" t="s">
        <v>2569</v>
      </c>
      <c r="L892" t="s">
        <v>2601</v>
      </c>
      <c r="M892" t="s">
        <v>2631</v>
      </c>
    </row>
    <row r="893" spans="1:14">
      <c r="A893" s="1">
        <f>HYPERLINK("https://lsnyc.legalserver.org/matter/dynamic-profile/view/1893781","19-1893781")</f>
        <v>0</v>
      </c>
      <c r="B893" t="s">
        <v>18</v>
      </c>
      <c r="C893" t="s">
        <v>27</v>
      </c>
      <c r="D893" t="s">
        <v>807</v>
      </c>
      <c r="E893" t="s">
        <v>2394</v>
      </c>
      <c r="F893" t="s">
        <v>2437</v>
      </c>
      <c r="I893" t="s">
        <v>2446</v>
      </c>
      <c r="J893" t="s">
        <v>2456</v>
      </c>
      <c r="K893" t="s">
        <v>2572</v>
      </c>
      <c r="L893" t="s">
        <v>2610</v>
      </c>
      <c r="M893" t="s">
        <v>2626</v>
      </c>
      <c r="N893" t="s">
        <v>2648</v>
      </c>
    </row>
    <row r="894" spans="1:14">
      <c r="A894" s="1">
        <f>HYPERLINK("https://lsnyc.legalserver.org/matter/dynamic-profile/view/1893707","19-1893707")</f>
        <v>0</v>
      </c>
      <c r="B894" t="s">
        <v>15</v>
      </c>
      <c r="C894" t="s">
        <v>22</v>
      </c>
      <c r="D894" t="s">
        <v>398</v>
      </c>
      <c r="E894" t="s">
        <v>2387</v>
      </c>
      <c r="F894" t="s">
        <v>2437</v>
      </c>
      <c r="I894" t="s">
        <v>2446</v>
      </c>
      <c r="J894" t="s">
        <v>2455</v>
      </c>
      <c r="K894" t="s">
        <v>2569</v>
      </c>
      <c r="L894" t="s">
        <v>2602</v>
      </c>
      <c r="M894" t="s">
        <v>2629</v>
      </c>
    </row>
    <row r="895" spans="1:14">
      <c r="A895" s="1">
        <f>HYPERLINK("https://lsnyc.legalserver.org/matter/dynamic-profile/view/1893690","19-1893690")</f>
        <v>0</v>
      </c>
      <c r="B895" t="s">
        <v>17</v>
      </c>
      <c r="C895" t="s">
        <v>60</v>
      </c>
      <c r="D895" t="s">
        <v>545</v>
      </c>
      <c r="E895" t="s">
        <v>2376</v>
      </c>
      <c r="F895" t="s">
        <v>2437</v>
      </c>
      <c r="I895" t="s">
        <v>2446</v>
      </c>
      <c r="J895" t="s">
        <v>2457</v>
      </c>
      <c r="L895" t="s">
        <v>2600</v>
      </c>
      <c r="M895" t="s">
        <v>2618</v>
      </c>
    </row>
    <row r="896" spans="1:14">
      <c r="A896" s="1">
        <f>HYPERLINK("https://lsnyc.legalserver.org/matter/dynamic-profile/view/1893660","19-1893660")</f>
        <v>0</v>
      </c>
      <c r="B896" t="s">
        <v>17</v>
      </c>
      <c r="C896" t="s">
        <v>42</v>
      </c>
      <c r="D896" t="s">
        <v>808</v>
      </c>
      <c r="E896" t="s">
        <v>2375</v>
      </c>
      <c r="F896" t="s">
        <v>2437</v>
      </c>
      <c r="K896" t="s">
        <v>2569</v>
      </c>
      <c r="M896" t="s">
        <v>2617</v>
      </c>
    </row>
    <row r="897" spans="1:14">
      <c r="A897" s="1">
        <f>HYPERLINK("https://lsnyc.legalserver.org/matter/dynamic-profile/view/1893663","19-1893663")</f>
        <v>0</v>
      </c>
      <c r="B897" t="s">
        <v>17</v>
      </c>
      <c r="C897" t="s">
        <v>36</v>
      </c>
      <c r="D897" t="s">
        <v>809</v>
      </c>
      <c r="E897" t="s">
        <v>2387</v>
      </c>
      <c r="F897" t="s">
        <v>2437</v>
      </c>
      <c r="K897" t="s">
        <v>2569</v>
      </c>
      <c r="M897" t="s">
        <v>2629</v>
      </c>
    </row>
    <row r="898" spans="1:14">
      <c r="A898" s="1">
        <f>HYPERLINK("https://lsnyc.legalserver.org/matter/dynamic-profile/view/1893551","19-1893551")</f>
        <v>0</v>
      </c>
      <c r="B898" t="s">
        <v>18</v>
      </c>
      <c r="C898" t="s">
        <v>27</v>
      </c>
      <c r="D898" t="s">
        <v>810</v>
      </c>
      <c r="E898" t="s">
        <v>2374</v>
      </c>
      <c r="F898" t="s">
        <v>2439</v>
      </c>
      <c r="I898" t="s">
        <v>2446</v>
      </c>
      <c r="J898" t="s">
        <v>2457</v>
      </c>
      <c r="K898" t="s">
        <v>2572</v>
      </c>
      <c r="L898" t="s">
        <v>2602</v>
      </c>
      <c r="M898" t="s">
        <v>2631</v>
      </c>
    </row>
    <row r="899" spans="1:14">
      <c r="A899" s="1">
        <f>HYPERLINK("https://lsnyc.legalserver.org/matter/dynamic-profile/view/1893536","19-1893536")</f>
        <v>0</v>
      </c>
      <c r="B899" t="s">
        <v>15</v>
      </c>
      <c r="C899" t="s">
        <v>22</v>
      </c>
      <c r="D899" t="s">
        <v>397</v>
      </c>
      <c r="E899" t="s">
        <v>2387</v>
      </c>
      <c r="F899" t="s">
        <v>2437</v>
      </c>
      <c r="J899" t="s">
        <v>2455</v>
      </c>
      <c r="K899" t="s">
        <v>2569</v>
      </c>
      <c r="M899" t="s">
        <v>2629</v>
      </c>
    </row>
    <row r="900" spans="1:14">
      <c r="A900" s="1">
        <f>HYPERLINK("https://lsnyc.legalserver.org/matter/dynamic-profile/view/1893542","19-1893542")</f>
        <v>0</v>
      </c>
      <c r="B900" t="s">
        <v>15</v>
      </c>
      <c r="C900" t="s">
        <v>22</v>
      </c>
      <c r="D900" t="s">
        <v>397</v>
      </c>
      <c r="E900" t="s">
        <v>2391</v>
      </c>
      <c r="F900" t="s">
        <v>2437</v>
      </c>
      <c r="J900" t="s">
        <v>2455</v>
      </c>
      <c r="K900" t="s">
        <v>2569</v>
      </c>
      <c r="M900" t="s">
        <v>2615</v>
      </c>
    </row>
    <row r="901" spans="1:14">
      <c r="A901" s="1">
        <f>HYPERLINK("https://lsnyc.legalserver.org/matter/dynamic-profile/view/1893298","19-1893298")</f>
        <v>0</v>
      </c>
      <c r="B901" t="s">
        <v>16</v>
      </c>
      <c r="C901" t="s">
        <v>23</v>
      </c>
      <c r="D901" t="s">
        <v>811</v>
      </c>
      <c r="E901" t="s">
        <v>2385</v>
      </c>
      <c r="F901" t="s">
        <v>2439</v>
      </c>
      <c r="I901" t="s">
        <v>2446</v>
      </c>
      <c r="J901" t="s">
        <v>2449</v>
      </c>
      <c r="K901" t="s">
        <v>2569</v>
      </c>
      <c r="L901" t="s">
        <v>2601</v>
      </c>
      <c r="M901" t="s">
        <v>2631</v>
      </c>
    </row>
    <row r="902" spans="1:14">
      <c r="A902" s="1">
        <f>HYPERLINK("https://lsnyc.legalserver.org/matter/dynamic-profile/view/1893464","19-1893464")</f>
        <v>0</v>
      </c>
      <c r="B902" t="s">
        <v>19</v>
      </c>
      <c r="C902" t="s">
        <v>66</v>
      </c>
      <c r="D902" t="s">
        <v>812</v>
      </c>
      <c r="E902" t="s">
        <v>2417</v>
      </c>
      <c r="F902" t="s">
        <v>2441</v>
      </c>
      <c r="J902" t="s">
        <v>2449</v>
      </c>
      <c r="K902" t="s">
        <v>2569</v>
      </c>
      <c r="L902" t="s">
        <v>2602</v>
      </c>
      <c r="M902" t="s">
        <v>2645</v>
      </c>
    </row>
    <row r="903" spans="1:14">
      <c r="A903" s="1">
        <f>HYPERLINK("https://lsnyc.legalserver.org/matter/dynamic-profile/view/1893466","19-1893466")</f>
        <v>0</v>
      </c>
      <c r="B903" t="s">
        <v>19</v>
      </c>
      <c r="C903" t="s">
        <v>66</v>
      </c>
      <c r="D903" t="s">
        <v>813</v>
      </c>
      <c r="E903" t="s">
        <v>2417</v>
      </c>
      <c r="F903" t="s">
        <v>2441</v>
      </c>
      <c r="J903" t="s">
        <v>2447</v>
      </c>
      <c r="K903" t="s">
        <v>2569</v>
      </c>
      <c r="L903" t="s">
        <v>2602</v>
      </c>
      <c r="M903" t="s">
        <v>2645</v>
      </c>
    </row>
    <row r="904" spans="1:14">
      <c r="A904" s="1">
        <f>HYPERLINK("https://lsnyc.legalserver.org/matter/dynamic-profile/view/1893357","19-1893357")</f>
        <v>0</v>
      </c>
      <c r="B904" t="s">
        <v>18</v>
      </c>
      <c r="C904" t="s">
        <v>35</v>
      </c>
      <c r="D904" t="s">
        <v>814</v>
      </c>
      <c r="E904" t="s">
        <v>2376</v>
      </c>
      <c r="F904" t="s">
        <v>2437</v>
      </c>
      <c r="H904" t="s">
        <v>2445</v>
      </c>
      <c r="J904" t="s">
        <v>2518</v>
      </c>
      <c r="K904" t="s">
        <v>2572</v>
      </c>
      <c r="L904" t="s">
        <v>2600</v>
      </c>
      <c r="M904" t="s">
        <v>2618</v>
      </c>
    </row>
    <row r="905" spans="1:14">
      <c r="A905" s="1">
        <f>HYPERLINK("https://lsnyc.legalserver.org/matter/dynamic-profile/view/1893453","19-1893453")</f>
        <v>0</v>
      </c>
      <c r="B905" t="s">
        <v>19</v>
      </c>
      <c r="C905" t="s">
        <v>38</v>
      </c>
      <c r="D905" t="s">
        <v>815</v>
      </c>
      <c r="E905" t="s">
        <v>2370</v>
      </c>
      <c r="F905" t="s">
        <v>2439</v>
      </c>
      <c r="J905" t="s">
        <v>2471</v>
      </c>
      <c r="K905" t="s">
        <v>2572</v>
      </c>
      <c r="L905" t="s">
        <v>2602</v>
      </c>
      <c r="M905" t="s">
        <v>2631</v>
      </c>
      <c r="N905" t="s">
        <v>2648</v>
      </c>
    </row>
    <row r="906" spans="1:14">
      <c r="A906" s="1">
        <f>HYPERLINK("https://lsnyc.legalserver.org/matter/dynamic-profile/view/1893381","19-1893381")</f>
        <v>0</v>
      </c>
      <c r="B906" t="s">
        <v>16</v>
      </c>
      <c r="C906" t="s">
        <v>46</v>
      </c>
      <c r="D906" t="s">
        <v>816</v>
      </c>
      <c r="E906" t="s">
        <v>2390</v>
      </c>
      <c r="F906" t="s">
        <v>2437</v>
      </c>
      <c r="I906" t="s">
        <v>2446</v>
      </c>
      <c r="J906" t="s">
        <v>2463</v>
      </c>
      <c r="K906" t="s">
        <v>2572</v>
      </c>
      <c r="M906" t="s">
        <v>2619</v>
      </c>
    </row>
    <row r="907" spans="1:14">
      <c r="A907" s="1">
        <f>HYPERLINK("https://lsnyc.legalserver.org/matter/dynamic-profile/view/1893406","19-1893406")</f>
        <v>0</v>
      </c>
      <c r="B907" t="s">
        <v>16</v>
      </c>
      <c r="C907" t="s">
        <v>46</v>
      </c>
      <c r="D907" t="s">
        <v>817</v>
      </c>
      <c r="E907" t="s">
        <v>2390</v>
      </c>
      <c r="F907" t="s">
        <v>2437</v>
      </c>
      <c r="I907" t="s">
        <v>2446</v>
      </c>
      <c r="J907" t="s">
        <v>2516</v>
      </c>
      <c r="K907" t="s">
        <v>2569</v>
      </c>
      <c r="M907" t="s">
        <v>2619</v>
      </c>
    </row>
    <row r="908" spans="1:14">
      <c r="A908" s="1">
        <f>HYPERLINK("https://lsnyc.legalserver.org/matter/dynamic-profile/view/1893458","19-1893458")</f>
        <v>0</v>
      </c>
      <c r="B908" t="s">
        <v>16</v>
      </c>
      <c r="C908" t="s">
        <v>23</v>
      </c>
      <c r="D908" t="s">
        <v>818</v>
      </c>
      <c r="E908" t="s">
        <v>2385</v>
      </c>
      <c r="F908" t="s">
        <v>2438</v>
      </c>
      <c r="I908" t="s">
        <v>2446</v>
      </c>
      <c r="J908" t="s">
        <v>2471</v>
      </c>
      <c r="K908" t="s">
        <v>2571</v>
      </c>
      <c r="M908" t="s">
        <v>2616</v>
      </c>
    </row>
    <row r="909" spans="1:14">
      <c r="A909" s="1">
        <f>HYPERLINK("https://lsnyc.legalserver.org/matter/dynamic-profile/view/1893459","19-1893459")</f>
        <v>0</v>
      </c>
      <c r="B909" t="s">
        <v>16</v>
      </c>
      <c r="C909" t="s">
        <v>23</v>
      </c>
      <c r="D909" t="s">
        <v>819</v>
      </c>
      <c r="E909" t="s">
        <v>2385</v>
      </c>
      <c r="F909" t="s">
        <v>2438</v>
      </c>
      <c r="I909" t="s">
        <v>2446</v>
      </c>
      <c r="J909" t="s">
        <v>2471</v>
      </c>
      <c r="K909" t="s">
        <v>2571</v>
      </c>
      <c r="M909" t="s">
        <v>2616</v>
      </c>
    </row>
    <row r="910" spans="1:14">
      <c r="A910" s="1">
        <f>HYPERLINK("https://lsnyc.legalserver.org/matter/dynamic-profile/view/1893461","19-1893461")</f>
        <v>0</v>
      </c>
      <c r="B910" t="s">
        <v>16</v>
      </c>
      <c r="C910" t="s">
        <v>23</v>
      </c>
      <c r="D910" t="s">
        <v>464</v>
      </c>
      <c r="E910" t="s">
        <v>2385</v>
      </c>
      <c r="F910" t="s">
        <v>2438</v>
      </c>
      <c r="I910" t="s">
        <v>2446</v>
      </c>
      <c r="J910" t="s">
        <v>2471</v>
      </c>
      <c r="K910" t="s">
        <v>2571</v>
      </c>
      <c r="M910" t="s">
        <v>2616</v>
      </c>
    </row>
    <row r="911" spans="1:14">
      <c r="A911" s="1">
        <f>HYPERLINK("https://lsnyc.legalserver.org/matter/dynamic-profile/view/1893171","19-1893171")</f>
        <v>0</v>
      </c>
      <c r="B911" t="s">
        <v>18</v>
      </c>
      <c r="C911" t="s">
        <v>45</v>
      </c>
      <c r="D911" t="s">
        <v>820</v>
      </c>
      <c r="E911" t="s">
        <v>2412</v>
      </c>
      <c r="F911" t="s">
        <v>2439</v>
      </c>
      <c r="I911" t="s">
        <v>2446</v>
      </c>
      <c r="J911" t="s">
        <v>2448</v>
      </c>
      <c r="K911" t="s">
        <v>2569</v>
      </c>
      <c r="L911" t="s">
        <v>2601</v>
      </c>
      <c r="M911" t="s">
        <v>2631</v>
      </c>
    </row>
    <row r="912" spans="1:14">
      <c r="A912" s="1">
        <f>HYPERLINK("https://lsnyc.legalserver.org/matter/dynamic-profile/view/1893670","19-1893670")</f>
        <v>0</v>
      </c>
      <c r="B912" t="s">
        <v>17</v>
      </c>
      <c r="C912" t="s">
        <v>36</v>
      </c>
      <c r="D912" t="s">
        <v>821</v>
      </c>
      <c r="E912" t="s">
        <v>2376</v>
      </c>
      <c r="F912" t="s">
        <v>2437</v>
      </c>
      <c r="I912" t="s">
        <v>2446</v>
      </c>
      <c r="J912" t="s">
        <v>2449</v>
      </c>
      <c r="K912" t="s">
        <v>2569</v>
      </c>
      <c r="L912" t="s">
        <v>2600</v>
      </c>
      <c r="M912" t="s">
        <v>2618</v>
      </c>
    </row>
    <row r="913" spans="1:14">
      <c r="A913" s="1">
        <f>HYPERLINK("https://lsnyc.legalserver.org/matter/dynamic-profile/view/1893186","19-1893186")</f>
        <v>0</v>
      </c>
      <c r="B913" t="s">
        <v>16</v>
      </c>
      <c r="C913" t="s">
        <v>46</v>
      </c>
      <c r="D913" t="s">
        <v>822</v>
      </c>
      <c r="E913" t="s">
        <v>2390</v>
      </c>
      <c r="F913" t="s">
        <v>2437</v>
      </c>
      <c r="I913" t="s">
        <v>2446</v>
      </c>
      <c r="J913" t="s">
        <v>2472</v>
      </c>
      <c r="K913" t="s">
        <v>2572</v>
      </c>
      <c r="L913" t="s">
        <v>2600</v>
      </c>
      <c r="M913" t="s">
        <v>2619</v>
      </c>
    </row>
    <row r="914" spans="1:14">
      <c r="A914" s="1">
        <f>HYPERLINK("https://lsnyc.legalserver.org/matter/dynamic-profile/view/1893227","19-1893227")</f>
        <v>0</v>
      </c>
      <c r="B914" t="s">
        <v>16</v>
      </c>
      <c r="C914" t="s">
        <v>46</v>
      </c>
      <c r="D914" t="s">
        <v>823</v>
      </c>
      <c r="E914" t="s">
        <v>2387</v>
      </c>
      <c r="F914" t="s">
        <v>2437</v>
      </c>
      <c r="I914" t="s">
        <v>2446</v>
      </c>
      <c r="J914" t="s">
        <v>2457</v>
      </c>
      <c r="K914" t="s">
        <v>2569</v>
      </c>
      <c r="M914" t="s">
        <v>2629</v>
      </c>
    </row>
    <row r="915" spans="1:14">
      <c r="A915" s="1">
        <f>HYPERLINK("https://lsnyc.legalserver.org/matter/dynamic-profile/view/1893468","19-1893468")</f>
        <v>0</v>
      </c>
      <c r="B915" t="s">
        <v>18</v>
      </c>
      <c r="C915" t="s">
        <v>45</v>
      </c>
      <c r="D915" t="s">
        <v>824</v>
      </c>
      <c r="E915" t="s">
        <v>2390</v>
      </c>
      <c r="F915" t="s">
        <v>2439</v>
      </c>
      <c r="I915" t="s">
        <v>2446</v>
      </c>
      <c r="J915" t="s">
        <v>2448</v>
      </c>
      <c r="K915" t="s">
        <v>2569</v>
      </c>
      <c r="L915" t="s">
        <v>2602</v>
      </c>
      <c r="M915" t="s">
        <v>2631</v>
      </c>
    </row>
    <row r="916" spans="1:14">
      <c r="A916" s="1">
        <f>HYPERLINK("https://lsnyc.legalserver.org/matter/dynamic-profile/view/1893039","19-1893039")</f>
        <v>0</v>
      </c>
      <c r="B916" t="s">
        <v>16</v>
      </c>
      <c r="C916" t="s">
        <v>24</v>
      </c>
      <c r="D916" t="s">
        <v>825</v>
      </c>
      <c r="E916" t="s">
        <v>2375</v>
      </c>
      <c r="F916" t="s">
        <v>2439</v>
      </c>
      <c r="I916" t="s">
        <v>2446</v>
      </c>
      <c r="J916" t="s">
        <v>2520</v>
      </c>
      <c r="K916" t="s">
        <v>2572</v>
      </c>
      <c r="L916" t="s">
        <v>2601</v>
      </c>
      <c r="M916" t="s">
        <v>2631</v>
      </c>
    </row>
    <row r="917" spans="1:14">
      <c r="A917" s="1">
        <f>HYPERLINK("https://lsnyc.legalserver.org/matter/dynamic-profile/view/1893099","19-1893099")</f>
        <v>0</v>
      </c>
      <c r="B917" t="s">
        <v>16</v>
      </c>
      <c r="C917" t="s">
        <v>24</v>
      </c>
      <c r="D917" t="s">
        <v>826</v>
      </c>
      <c r="E917" t="s">
        <v>2390</v>
      </c>
      <c r="F917" t="s">
        <v>2440</v>
      </c>
      <c r="I917" t="s">
        <v>2446</v>
      </c>
      <c r="J917" t="s">
        <v>2448</v>
      </c>
      <c r="K917" t="s">
        <v>2569</v>
      </c>
      <c r="L917" t="s">
        <v>2601</v>
      </c>
      <c r="M917" t="s">
        <v>2631</v>
      </c>
    </row>
    <row r="918" spans="1:14">
      <c r="A918" s="1">
        <f>HYPERLINK("https://lsnyc.legalserver.org/matter/dynamic-profile/view/1893030","19-1893030")</f>
        <v>0</v>
      </c>
      <c r="B918" t="s">
        <v>14</v>
      </c>
      <c r="C918" t="s">
        <v>26</v>
      </c>
      <c r="D918" t="s">
        <v>128</v>
      </c>
      <c r="E918" t="s">
        <v>2391</v>
      </c>
      <c r="F918" t="s">
        <v>2437</v>
      </c>
      <c r="I918" t="s">
        <v>2446</v>
      </c>
      <c r="J918" t="s">
        <v>2462</v>
      </c>
      <c r="K918" t="s">
        <v>2572</v>
      </c>
      <c r="M918" t="s">
        <v>2615</v>
      </c>
    </row>
    <row r="919" spans="1:14">
      <c r="A919" s="1">
        <f>HYPERLINK("https://lsnyc.legalserver.org/matter/dynamic-profile/view/1893074","19-1893074")</f>
        <v>0</v>
      </c>
      <c r="B919" t="s">
        <v>15</v>
      </c>
      <c r="C919" t="s">
        <v>29</v>
      </c>
      <c r="D919" t="s">
        <v>154</v>
      </c>
      <c r="E919" t="s">
        <v>2385</v>
      </c>
      <c r="G919" t="s">
        <v>2444</v>
      </c>
      <c r="I919" t="s">
        <v>2446</v>
      </c>
      <c r="J919" t="s">
        <v>2465</v>
      </c>
      <c r="K919" t="s">
        <v>2569</v>
      </c>
      <c r="M919" t="s">
        <v>2616</v>
      </c>
    </row>
    <row r="920" spans="1:14">
      <c r="A920" s="1">
        <f>HYPERLINK("https://lsnyc.legalserver.org/matter/dynamic-profile/view/1893134","19-1893134")</f>
        <v>0</v>
      </c>
      <c r="B920" t="s">
        <v>15</v>
      </c>
      <c r="C920" t="s">
        <v>30</v>
      </c>
      <c r="D920" t="s">
        <v>827</v>
      </c>
      <c r="E920" t="s">
        <v>2374</v>
      </c>
      <c r="F920" t="s">
        <v>2438</v>
      </c>
      <c r="J920" t="s">
        <v>2455</v>
      </c>
      <c r="K920" t="s">
        <v>2569</v>
      </c>
      <c r="M920" t="s">
        <v>2616</v>
      </c>
    </row>
    <row r="921" spans="1:14">
      <c r="A921" s="1">
        <f>HYPERLINK("https://lsnyc.legalserver.org/matter/dynamic-profile/view/1893850","19-1893850")</f>
        <v>0</v>
      </c>
      <c r="B921" t="s">
        <v>15</v>
      </c>
      <c r="C921" t="s">
        <v>31</v>
      </c>
      <c r="D921" t="s">
        <v>828</v>
      </c>
      <c r="E921" t="s">
        <v>2374</v>
      </c>
      <c r="F921" t="s">
        <v>2438</v>
      </c>
      <c r="I921" t="s">
        <v>2446</v>
      </c>
      <c r="J921" t="s">
        <v>2521</v>
      </c>
      <c r="K921" t="s">
        <v>2572</v>
      </c>
      <c r="M921" t="s">
        <v>2626</v>
      </c>
    </row>
    <row r="922" spans="1:14">
      <c r="A922" s="1">
        <f>HYPERLINK("https://lsnyc.legalserver.org/matter/dynamic-profile/view/1891377","19-1891377")</f>
        <v>0</v>
      </c>
      <c r="B922" t="s">
        <v>17</v>
      </c>
      <c r="C922" t="s">
        <v>60</v>
      </c>
      <c r="D922" t="s">
        <v>829</v>
      </c>
      <c r="E922" t="s">
        <v>2374</v>
      </c>
      <c r="F922" t="s">
        <v>2439</v>
      </c>
      <c r="I922" t="s">
        <v>2446</v>
      </c>
      <c r="J922" t="s">
        <v>2477</v>
      </c>
      <c r="K922" t="s">
        <v>2569</v>
      </c>
      <c r="L922" t="s">
        <v>2601</v>
      </c>
      <c r="M922" t="s">
        <v>2631</v>
      </c>
    </row>
    <row r="923" spans="1:14">
      <c r="A923" s="1">
        <f>HYPERLINK("https://lsnyc.legalserver.org/matter/dynamic-profile/view/1892933","19-1892933")</f>
        <v>0</v>
      </c>
      <c r="B923" t="s">
        <v>19</v>
      </c>
      <c r="C923" t="s">
        <v>50</v>
      </c>
      <c r="D923" t="s">
        <v>710</v>
      </c>
      <c r="E923" t="s">
        <v>2415</v>
      </c>
      <c r="F923" t="s">
        <v>2437</v>
      </c>
      <c r="J923" t="s">
        <v>2461</v>
      </c>
      <c r="K923" t="s">
        <v>2592</v>
      </c>
      <c r="L923" t="s">
        <v>2604</v>
      </c>
      <c r="M923" t="s">
        <v>2630</v>
      </c>
      <c r="N923" t="s">
        <v>2648</v>
      </c>
    </row>
    <row r="924" spans="1:14">
      <c r="A924" s="1">
        <f>HYPERLINK("https://lsnyc.legalserver.org/matter/dynamic-profile/view/1892816","19-1892816")</f>
        <v>0</v>
      </c>
      <c r="B924" t="s">
        <v>15</v>
      </c>
      <c r="C924" t="s">
        <v>22</v>
      </c>
      <c r="D924" t="s">
        <v>335</v>
      </c>
      <c r="E924" t="s">
        <v>2386</v>
      </c>
      <c r="F924" t="s">
        <v>2437</v>
      </c>
      <c r="J924" t="s">
        <v>2452</v>
      </c>
      <c r="K924" t="s">
        <v>2572</v>
      </c>
      <c r="L924" t="s">
        <v>2601</v>
      </c>
      <c r="M924" t="s">
        <v>2631</v>
      </c>
    </row>
    <row r="925" spans="1:14">
      <c r="A925" s="1">
        <f>HYPERLINK("https://lsnyc.legalserver.org/matter/dynamic-profile/view/1892805","19-1892805")</f>
        <v>0</v>
      </c>
      <c r="B925" t="s">
        <v>18</v>
      </c>
      <c r="C925" t="s">
        <v>45</v>
      </c>
      <c r="D925" t="s">
        <v>638</v>
      </c>
      <c r="E925" t="s">
        <v>2374</v>
      </c>
      <c r="F925" t="s">
        <v>2438</v>
      </c>
      <c r="I925" t="s">
        <v>2446</v>
      </c>
      <c r="J925" t="s">
        <v>2450</v>
      </c>
      <c r="K925" t="s">
        <v>2569</v>
      </c>
      <c r="M925" t="s">
        <v>2616</v>
      </c>
    </row>
    <row r="926" spans="1:14">
      <c r="A926" s="1">
        <f>HYPERLINK("https://lsnyc.legalserver.org/matter/dynamic-profile/view/1892809","19-1892809")</f>
        <v>0</v>
      </c>
      <c r="B926" t="s">
        <v>18</v>
      </c>
      <c r="C926" t="s">
        <v>45</v>
      </c>
      <c r="D926" t="s">
        <v>639</v>
      </c>
      <c r="E926" t="s">
        <v>2374</v>
      </c>
      <c r="F926" t="s">
        <v>2438</v>
      </c>
      <c r="I926" t="s">
        <v>2446</v>
      </c>
      <c r="J926" t="s">
        <v>2450</v>
      </c>
      <c r="K926" t="s">
        <v>2569</v>
      </c>
      <c r="M926" t="s">
        <v>2616</v>
      </c>
    </row>
    <row r="927" spans="1:14">
      <c r="A927" s="1">
        <f>HYPERLINK("https://lsnyc.legalserver.org/matter/dynamic-profile/view/1892815","19-1892815")</f>
        <v>0</v>
      </c>
      <c r="B927" t="s">
        <v>18</v>
      </c>
      <c r="C927" t="s">
        <v>45</v>
      </c>
      <c r="D927" t="s">
        <v>640</v>
      </c>
      <c r="E927" t="s">
        <v>2374</v>
      </c>
      <c r="F927" t="s">
        <v>2438</v>
      </c>
      <c r="I927" t="s">
        <v>2446</v>
      </c>
      <c r="J927" t="s">
        <v>2450</v>
      </c>
      <c r="K927" t="s">
        <v>2569</v>
      </c>
      <c r="M927" t="s">
        <v>2616</v>
      </c>
    </row>
    <row r="928" spans="1:14">
      <c r="A928" s="1">
        <f>HYPERLINK("https://lsnyc.legalserver.org/matter/dynamic-profile/view/1892829","19-1892829")</f>
        <v>0</v>
      </c>
      <c r="B928" t="s">
        <v>14</v>
      </c>
      <c r="C928" t="s">
        <v>26</v>
      </c>
      <c r="D928" t="s">
        <v>189</v>
      </c>
      <c r="E928" t="s">
        <v>2391</v>
      </c>
      <c r="F928" t="s">
        <v>2437</v>
      </c>
      <c r="I928" t="s">
        <v>2446</v>
      </c>
      <c r="J928" t="s">
        <v>2450</v>
      </c>
      <c r="K928" t="s">
        <v>2569</v>
      </c>
      <c r="M928" t="s">
        <v>2615</v>
      </c>
    </row>
    <row r="929" spans="1:14">
      <c r="A929" s="1">
        <f>HYPERLINK("https://lsnyc.legalserver.org/matter/dynamic-profile/view/1892840","19-1892840")</f>
        <v>0</v>
      </c>
      <c r="B929" t="s">
        <v>14</v>
      </c>
      <c r="C929" t="s">
        <v>33</v>
      </c>
      <c r="D929" t="s">
        <v>755</v>
      </c>
      <c r="E929" t="s">
        <v>2385</v>
      </c>
      <c r="F929" t="s">
        <v>2438</v>
      </c>
      <c r="I929" t="s">
        <v>2446</v>
      </c>
      <c r="J929" t="s">
        <v>2450</v>
      </c>
      <c r="K929" t="s">
        <v>2569</v>
      </c>
      <c r="M929" t="s">
        <v>2616</v>
      </c>
    </row>
    <row r="930" spans="1:14">
      <c r="A930" s="1">
        <f>HYPERLINK("https://lsnyc.legalserver.org/matter/dynamic-profile/view/1892925","19-1892925")</f>
        <v>0</v>
      </c>
      <c r="B930" t="s">
        <v>19</v>
      </c>
      <c r="C930" t="s">
        <v>47</v>
      </c>
      <c r="D930" t="s">
        <v>830</v>
      </c>
      <c r="E930" t="s">
        <v>2391</v>
      </c>
      <c r="F930" t="s">
        <v>2437</v>
      </c>
      <c r="I930" t="s">
        <v>2446</v>
      </c>
      <c r="J930" t="s">
        <v>2522</v>
      </c>
      <c r="K930" t="s">
        <v>2572</v>
      </c>
      <c r="M930" t="s">
        <v>2615</v>
      </c>
    </row>
    <row r="931" spans="1:14">
      <c r="A931" s="1">
        <f>HYPERLINK("https://lsnyc.legalserver.org/matter/dynamic-profile/view/1892928","19-1892928")</f>
        <v>0</v>
      </c>
      <c r="B931" t="s">
        <v>19</v>
      </c>
      <c r="C931" t="s">
        <v>47</v>
      </c>
      <c r="D931" t="s">
        <v>830</v>
      </c>
      <c r="E931" t="s">
        <v>2375</v>
      </c>
      <c r="F931" t="s">
        <v>2437</v>
      </c>
      <c r="I931" t="s">
        <v>2446</v>
      </c>
      <c r="J931" t="s">
        <v>2522</v>
      </c>
      <c r="K931" t="s">
        <v>2572</v>
      </c>
      <c r="M931" t="s">
        <v>2617</v>
      </c>
    </row>
    <row r="932" spans="1:14">
      <c r="A932" s="1">
        <f>HYPERLINK("https://lsnyc.legalserver.org/matter/dynamic-profile/view/1892935","19-1892935")</f>
        <v>0</v>
      </c>
      <c r="B932" t="s">
        <v>19</v>
      </c>
      <c r="C932" t="s">
        <v>50</v>
      </c>
      <c r="D932" t="s">
        <v>710</v>
      </c>
      <c r="E932" t="s">
        <v>2374</v>
      </c>
      <c r="F932" t="s">
        <v>2438</v>
      </c>
      <c r="J932" t="s">
        <v>2461</v>
      </c>
      <c r="K932" t="s">
        <v>2592</v>
      </c>
      <c r="M932" t="s">
        <v>2616</v>
      </c>
      <c r="N932" t="s">
        <v>2648</v>
      </c>
    </row>
    <row r="933" spans="1:14">
      <c r="A933" s="1">
        <f>HYPERLINK("https://lsnyc.legalserver.org/matter/dynamic-profile/view/1892695","19-1892695")</f>
        <v>0</v>
      </c>
      <c r="B933" t="s">
        <v>16</v>
      </c>
      <c r="C933" t="s">
        <v>24</v>
      </c>
      <c r="D933" t="s">
        <v>831</v>
      </c>
      <c r="E933" t="s">
        <v>2390</v>
      </c>
      <c r="F933" t="s">
        <v>2439</v>
      </c>
      <c r="I933" t="s">
        <v>2446</v>
      </c>
      <c r="J933" t="s">
        <v>2448</v>
      </c>
      <c r="K933" t="s">
        <v>2569</v>
      </c>
      <c r="L933" t="s">
        <v>2601</v>
      </c>
      <c r="M933" t="s">
        <v>2631</v>
      </c>
    </row>
    <row r="934" spans="1:14">
      <c r="A934" s="1">
        <f>HYPERLINK("https://lsnyc.legalserver.org/matter/dynamic-profile/view/1892647","19-1892647")</f>
        <v>0</v>
      </c>
      <c r="B934" t="s">
        <v>19</v>
      </c>
      <c r="C934" t="s">
        <v>47</v>
      </c>
      <c r="D934" t="s">
        <v>832</v>
      </c>
      <c r="E934" t="s">
        <v>2374</v>
      </c>
      <c r="F934" t="s">
        <v>2438</v>
      </c>
      <c r="J934" t="s">
        <v>2488</v>
      </c>
      <c r="K934" t="s">
        <v>2569</v>
      </c>
      <c r="M934" t="s">
        <v>2616</v>
      </c>
    </row>
    <row r="935" spans="1:14">
      <c r="A935" s="1">
        <f>HYPERLINK("https://lsnyc.legalserver.org/matter/dynamic-profile/view/1892721","19-1892721")</f>
        <v>0</v>
      </c>
      <c r="B935" t="s">
        <v>16</v>
      </c>
      <c r="C935" t="s">
        <v>46</v>
      </c>
      <c r="D935" t="s">
        <v>833</v>
      </c>
      <c r="E935" t="s">
        <v>2375</v>
      </c>
      <c r="F935" t="s">
        <v>2437</v>
      </c>
      <c r="I935" t="s">
        <v>2446</v>
      </c>
      <c r="J935" t="s">
        <v>2509</v>
      </c>
      <c r="K935" t="s">
        <v>2571</v>
      </c>
      <c r="L935" t="s">
        <v>2600</v>
      </c>
      <c r="M935" t="s">
        <v>2617</v>
      </c>
    </row>
    <row r="936" spans="1:14">
      <c r="A936" s="1">
        <f>HYPERLINK("https://lsnyc.legalserver.org/matter/dynamic-profile/view/1892768","19-1892768")</f>
        <v>0</v>
      </c>
      <c r="B936" t="s">
        <v>16</v>
      </c>
      <c r="C936" t="s">
        <v>46</v>
      </c>
      <c r="D936" t="s">
        <v>834</v>
      </c>
      <c r="E936" t="s">
        <v>2390</v>
      </c>
      <c r="F936" t="s">
        <v>2437</v>
      </c>
      <c r="J936" t="s">
        <v>2452</v>
      </c>
      <c r="K936" t="s">
        <v>2572</v>
      </c>
      <c r="M936" t="s">
        <v>2619</v>
      </c>
    </row>
    <row r="937" spans="1:14">
      <c r="A937" s="1">
        <f>HYPERLINK("https://lsnyc.legalserver.org/matter/dynamic-profile/view/1892551","19-1892551")</f>
        <v>0</v>
      </c>
      <c r="B937" t="s">
        <v>18</v>
      </c>
      <c r="C937" t="s">
        <v>34</v>
      </c>
      <c r="D937" t="s">
        <v>835</v>
      </c>
      <c r="E937" t="s">
        <v>2393</v>
      </c>
      <c r="F937" t="s">
        <v>2437</v>
      </c>
      <c r="I937" t="s">
        <v>2446</v>
      </c>
      <c r="J937" t="s">
        <v>2471</v>
      </c>
      <c r="K937" t="s">
        <v>2572</v>
      </c>
      <c r="L937" t="s">
        <v>2603</v>
      </c>
      <c r="M937" t="s">
        <v>2637</v>
      </c>
    </row>
    <row r="938" spans="1:14">
      <c r="A938" s="1">
        <f>HYPERLINK("https://lsnyc.legalserver.org/matter/dynamic-profile/view/1892518","19-1892518")</f>
        <v>0</v>
      </c>
      <c r="B938" t="s">
        <v>19</v>
      </c>
      <c r="C938" t="s">
        <v>47</v>
      </c>
      <c r="D938" t="s">
        <v>836</v>
      </c>
      <c r="E938" t="s">
        <v>2376</v>
      </c>
      <c r="F938" t="s">
        <v>2437</v>
      </c>
      <c r="J938" t="s">
        <v>2457</v>
      </c>
      <c r="K938" t="s">
        <v>2569</v>
      </c>
      <c r="L938" t="s">
        <v>2605</v>
      </c>
      <c r="M938" t="s">
        <v>2626</v>
      </c>
    </row>
    <row r="939" spans="1:14">
      <c r="A939" s="1">
        <f>HYPERLINK("https://lsnyc.legalserver.org/matter/dynamic-profile/view/1892550","19-1892550")</f>
        <v>0</v>
      </c>
      <c r="B939" t="s">
        <v>16</v>
      </c>
      <c r="C939" t="s">
        <v>24</v>
      </c>
      <c r="D939" t="s">
        <v>837</v>
      </c>
      <c r="F939" t="s">
        <v>2436</v>
      </c>
      <c r="J939" t="s">
        <v>2516</v>
      </c>
      <c r="K939" t="s">
        <v>2572</v>
      </c>
      <c r="M939" t="s">
        <v>2436</v>
      </c>
    </row>
    <row r="940" spans="1:14">
      <c r="A940" s="1">
        <f>HYPERLINK("https://lsnyc.legalserver.org/matter/dynamic-profile/view/1892555","19-1892555")</f>
        <v>0</v>
      </c>
      <c r="B940" t="s">
        <v>19</v>
      </c>
      <c r="C940" t="s">
        <v>54</v>
      </c>
      <c r="D940" t="s">
        <v>838</v>
      </c>
      <c r="E940" t="s">
        <v>2374</v>
      </c>
      <c r="F940" t="s">
        <v>2438</v>
      </c>
      <c r="I940" t="s">
        <v>2446</v>
      </c>
      <c r="J940" t="s">
        <v>2523</v>
      </c>
      <c r="K940" t="s">
        <v>2572</v>
      </c>
      <c r="L940" t="s">
        <v>2602</v>
      </c>
      <c r="M940" t="s">
        <v>2626</v>
      </c>
    </row>
    <row r="941" spans="1:14">
      <c r="A941" s="1">
        <f>HYPERLINK("https://lsnyc.legalserver.org/matter/dynamic-profile/view/1892574","19-1892574")</f>
        <v>0</v>
      </c>
      <c r="B941" t="s">
        <v>14</v>
      </c>
      <c r="C941" t="s">
        <v>26</v>
      </c>
      <c r="D941" t="s">
        <v>92</v>
      </c>
      <c r="E941" t="s">
        <v>2412</v>
      </c>
      <c r="F941" t="s">
        <v>2437</v>
      </c>
      <c r="I941" t="s">
        <v>2446</v>
      </c>
      <c r="J941" t="s">
        <v>2451</v>
      </c>
      <c r="K941" t="s">
        <v>2573</v>
      </c>
      <c r="M941" t="s">
        <v>2616</v>
      </c>
    </row>
    <row r="942" spans="1:14">
      <c r="A942" s="1">
        <f>HYPERLINK("https://lsnyc.legalserver.org/matter/dynamic-profile/view/1892577","19-1892577")</f>
        <v>0</v>
      </c>
      <c r="B942" t="s">
        <v>14</v>
      </c>
      <c r="C942" t="s">
        <v>26</v>
      </c>
      <c r="D942" t="s">
        <v>92</v>
      </c>
      <c r="E942" t="s">
        <v>2385</v>
      </c>
      <c r="F942" t="s">
        <v>2437</v>
      </c>
      <c r="I942" t="s">
        <v>2446</v>
      </c>
      <c r="J942" t="s">
        <v>2451</v>
      </c>
      <c r="K942" t="s">
        <v>2573</v>
      </c>
      <c r="M942" t="s">
        <v>2616</v>
      </c>
    </row>
    <row r="943" spans="1:14">
      <c r="A943" s="1">
        <f>HYPERLINK("https://lsnyc.legalserver.org/matter/dynamic-profile/view/1892612","19-1892612")</f>
        <v>0</v>
      </c>
      <c r="B943" t="s">
        <v>14</v>
      </c>
      <c r="C943" t="s">
        <v>26</v>
      </c>
      <c r="D943" t="s">
        <v>839</v>
      </c>
      <c r="E943" t="s">
        <v>2403</v>
      </c>
      <c r="F943" t="s">
        <v>2437</v>
      </c>
      <c r="I943" t="s">
        <v>2446</v>
      </c>
      <c r="J943" t="s">
        <v>2457</v>
      </c>
      <c r="K943" t="s">
        <v>2569</v>
      </c>
      <c r="M943" t="s">
        <v>2639</v>
      </c>
    </row>
    <row r="944" spans="1:14">
      <c r="A944" s="1">
        <f>HYPERLINK("https://lsnyc.legalserver.org/matter/dynamic-profile/view/1892417","19-1892417")</f>
        <v>0</v>
      </c>
      <c r="B944" t="s">
        <v>14</v>
      </c>
      <c r="C944" t="s">
        <v>26</v>
      </c>
      <c r="D944" t="s">
        <v>91</v>
      </c>
      <c r="E944" t="s">
        <v>2401</v>
      </c>
      <c r="F944" t="s">
        <v>2441</v>
      </c>
      <c r="J944" t="s">
        <v>2448</v>
      </c>
      <c r="K944" t="s">
        <v>2569</v>
      </c>
      <c r="L944" t="s">
        <v>2601</v>
      </c>
      <c r="M944" t="s">
        <v>2631</v>
      </c>
    </row>
    <row r="945" spans="1:13">
      <c r="A945" s="1">
        <f>HYPERLINK("https://lsnyc.legalserver.org/matter/dynamic-profile/view/1892400","19-1892400")</f>
        <v>0</v>
      </c>
      <c r="B945" t="s">
        <v>16</v>
      </c>
      <c r="C945" t="s">
        <v>24</v>
      </c>
      <c r="D945" t="s">
        <v>840</v>
      </c>
      <c r="E945" t="s">
        <v>2390</v>
      </c>
      <c r="F945" t="s">
        <v>2439</v>
      </c>
      <c r="L945" t="s">
        <v>2601</v>
      </c>
      <c r="M945" t="s">
        <v>2631</v>
      </c>
    </row>
    <row r="946" spans="1:13">
      <c r="A946" s="1">
        <f>HYPERLINK("https://lsnyc.legalserver.org/matter/dynamic-profile/view/1892462","19-1892462")</f>
        <v>0</v>
      </c>
      <c r="B946" t="s">
        <v>16</v>
      </c>
      <c r="C946" t="s">
        <v>24</v>
      </c>
      <c r="D946" t="s">
        <v>841</v>
      </c>
      <c r="E946" t="s">
        <v>2390</v>
      </c>
      <c r="F946" t="s">
        <v>2439</v>
      </c>
      <c r="I946" t="s">
        <v>2446</v>
      </c>
      <c r="J946" t="s">
        <v>2448</v>
      </c>
      <c r="K946" t="s">
        <v>2569</v>
      </c>
      <c r="L946" t="s">
        <v>2601</v>
      </c>
      <c r="M946" t="s">
        <v>2631</v>
      </c>
    </row>
    <row r="947" spans="1:13">
      <c r="A947" s="1">
        <f>HYPERLINK("https://lsnyc.legalserver.org/matter/dynamic-profile/view/1892448","19-1892448")</f>
        <v>0</v>
      </c>
      <c r="B947" t="s">
        <v>14</v>
      </c>
      <c r="C947" t="s">
        <v>21</v>
      </c>
      <c r="D947" t="s">
        <v>842</v>
      </c>
      <c r="E947" t="s">
        <v>2387</v>
      </c>
      <c r="F947" t="s">
        <v>2439</v>
      </c>
      <c r="I947" t="s">
        <v>2446</v>
      </c>
      <c r="J947" t="s">
        <v>2448</v>
      </c>
      <c r="K947" t="s">
        <v>2569</v>
      </c>
      <c r="L947" t="s">
        <v>2601</v>
      </c>
      <c r="M947" t="s">
        <v>2641</v>
      </c>
    </row>
    <row r="948" spans="1:13">
      <c r="A948" s="1">
        <f>HYPERLINK("https://lsnyc.legalserver.org/matter/dynamic-profile/view/1892439","19-1892439")</f>
        <v>0</v>
      </c>
      <c r="B948" t="s">
        <v>18</v>
      </c>
      <c r="C948" t="s">
        <v>27</v>
      </c>
      <c r="D948" t="s">
        <v>772</v>
      </c>
      <c r="E948" t="s">
        <v>2371</v>
      </c>
      <c r="F948" t="s">
        <v>2437</v>
      </c>
      <c r="I948" t="s">
        <v>2446</v>
      </c>
      <c r="J948" t="s">
        <v>2457</v>
      </c>
      <c r="K948" t="s">
        <v>2569</v>
      </c>
      <c r="L948" t="s">
        <v>2603</v>
      </c>
      <c r="M948" t="s">
        <v>2612</v>
      </c>
    </row>
    <row r="949" spans="1:13">
      <c r="A949" s="1">
        <f>HYPERLINK("https://lsnyc.legalserver.org/matter/dynamic-profile/view/1892343","19-1892343")</f>
        <v>0</v>
      </c>
      <c r="B949" t="s">
        <v>18</v>
      </c>
      <c r="C949" t="s">
        <v>27</v>
      </c>
      <c r="D949" t="s">
        <v>255</v>
      </c>
      <c r="E949" t="s">
        <v>2386</v>
      </c>
      <c r="F949" t="s">
        <v>2437</v>
      </c>
      <c r="J949" t="s">
        <v>2448</v>
      </c>
      <c r="K949" t="s">
        <v>2572</v>
      </c>
      <c r="M949" t="s">
        <v>2627</v>
      </c>
    </row>
    <row r="950" spans="1:13">
      <c r="A950" s="1">
        <f>HYPERLINK("https://lsnyc.legalserver.org/matter/dynamic-profile/view/1892366","19-1892366")</f>
        <v>0</v>
      </c>
      <c r="B950" t="s">
        <v>16</v>
      </c>
      <c r="C950" t="s">
        <v>23</v>
      </c>
      <c r="D950" t="s">
        <v>843</v>
      </c>
      <c r="E950" t="s">
        <v>2408</v>
      </c>
      <c r="F950" t="s">
        <v>2437</v>
      </c>
      <c r="J950" t="s">
        <v>2448</v>
      </c>
      <c r="K950" t="s">
        <v>2569</v>
      </c>
      <c r="M950" t="s">
        <v>2619</v>
      </c>
    </row>
    <row r="951" spans="1:13">
      <c r="A951" s="1">
        <f>HYPERLINK("https://lsnyc.legalserver.org/matter/dynamic-profile/view/1892396","19-1892396")</f>
        <v>0</v>
      </c>
      <c r="B951" t="s">
        <v>16</v>
      </c>
      <c r="C951" t="s">
        <v>23</v>
      </c>
      <c r="D951" t="s">
        <v>844</v>
      </c>
      <c r="E951" t="s">
        <v>2390</v>
      </c>
      <c r="F951" t="s">
        <v>2437</v>
      </c>
      <c r="I951" t="s">
        <v>2446</v>
      </c>
      <c r="J951" t="s">
        <v>2448</v>
      </c>
      <c r="K951" t="s">
        <v>2569</v>
      </c>
      <c r="M951" t="s">
        <v>2619</v>
      </c>
    </row>
    <row r="952" spans="1:13">
      <c r="A952" s="1">
        <f>HYPERLINK("https://lsnyc.legalserver.org/matter/dynamic-profile/view/1892431","19-1892431")</f>
        <v>0</v>
      </c>
      <c r="B952" t="s">
        <v>14</v>
      </c>
      <c r="C952" t="s">
        <v>26</v>
      </c>
      <c r="D952" t="s">
        <v>92</v>
      </c>
      <c r="E952" t="s">
        <v>2391</v>
      </c>
      <c r="F952" t="s">
        <v>2437</v>
      </c>
      <c r="I952" t="s">
        <v>2446</v>
      </c>
      <c r="J952" t="s">
        <v>2451</v>
      </c>
      <c r="K952" t="s">
        <v>2573</v>
      </c>
      <c r="M952" t="s">
        <v>2615</v>
      </c>
    </row>
    <row r="953" spans="1:13">
      <c r="A953" s="1">
        <f>HYPERLINK("https://lsnyc.legalserver.org/matter/dynamic-profile/view/1892437","19-1892437")</f>
        <v>0</v>
      </c>
      <c r="B953" t="s">
        <v>15</v>
      </c>
      <c r="C953" t="s">
        <v>49</v>
      </c>
      <c r="D953" t="s">
        <v>845</v>
      </c>
      <c r="E953" t="s">
        <v>2390</v>
      </c>
      <c r="F953" t="s">
        <v>2437</v>
      </c>
      <c r="I953" t="s">
        <v>2446</v>
      </c>
      <c r="J953" t="s">
        <v>2465</v>
      </c>
      <c r="K953" t="s">
        <v>2572</v>
      </c>
      <c r="M953" t="s">
        <v>2619</v>
      </c>
    </row>
    <row r="954" spans="1:13">
      <c r="A954" s="1">
        <f>HYPERLINK("https://lsnyc.legalserver.org/matter/dynamic-profile/view/1892460","19-1892460")</f>
        <v>0</v>
      </c>
      <c r="B954" t="s">
        <v>15</v>
      </c>
      <c r="C954" t="s">
        <v>49</v>
      </c>
      <c r="D954" t="s">
        <v>846</v>
      </c>
      <c r="E954" t="s">
        <v>2390</v>
      </c>
      <c r="F954" t="s">
        <v>2437</v>
      </c>
      <c r="I954" t="s">
        <v>2446</v>
      </c>
      <c r="J954" t="s">
        <v>2447</v>
      </c>
      <c r="K954" t="s">
        <v>2569</v>
      </c>
      <c r="M954" t="s">
        <v>2619</v>
      </c>
    </row>
    <row r="955" spans="1:13">
      <c r="A955" s="1">
        <f>HYPERLINK("https://lsnyc.legalserver.org/matter/dynamic-profile/view/1894247","19-1894247")</f>
        <v>0</v>
      </c>
      <c r="B955" t="s">
        <v>19</v>
      </c>
      <c r="C955" t="s">
        <v>50</v>
      </c>
      <c r="D955" t="s">
        <v>847</v>
      </c>
      <c r="E955" t="s">
        <v>2420</v>
      </c>
      <c r="F955" t="s">
        <v>2441</v>
      </c>
      <c r="J955" t="s">
        <v>2452</v>
      </c>
      <c r="K955" t="s">
        <v>2572</v>
      </c>
      <c r="L955" t="s">
        <v>2603</v>
      </c>
      <c r="M955" t="s">
        <v>2631</v>
      </c>
    </row>
    <row r="956" spans="1:13">
      <c r="A956" s="1">
        <f>HYPERLINK("https://lsnyc.legalserver.org/matter/dynamic-profile/view/1892209","19-1892209")</f>
        <v>0</v>
      </c>
      <c r="B956" t="s">
        <v>16</v>
      </c>
      <c r="C956" t="s">
        <v>24</v>
      </c>
      <c r="D956" t="s">
        <v>848</v>
      </c>
      <c r="E956" t="s">
        <v>2387</v>
      </c>
      <c r="F956" t="s">
        <v>2439</v>
      </c>
      <c r="I956" t="s">
        <v>2446</v>
      </c>
      <c r="J956" t="s">
        <v>2452</v>
      </c>
      <c r="K956" t="s">
        <v>2572</v>
      </c>
      <c r="L956" t="s">
        <v>2601</v>
      </c>
      <c r="M956" t="s">
        <v>2641</v>
      </c>
    </row>
    <row r="957" spans="1:13">
      <c r="A957" s="1">
        <f>HYPERLINK("https://lsnyc.legalserver.org/matter/dynamic-profile/view/1892198","19-1892198")</f>
        <v>0</v>
      </c>
      <c r="B957" t="s">
        <v>15</v>
      </c>
      <c r="C957" t="s">
        <v>49</v>
      </c>
      <c r="D957" t="s">
        <v>849</v>
      </c>
      <c r="E957" t="s">
        <v>2390</v>
      </c>
      <c r="F957" t="s">
        <v>2437</v>
      </c>
      <c r="J957" t="s">
        <v>2524</v>
      </c>
      <c r="K957" t="s">
        <v>2569</v>
      </c>
      <c r="M957" t="s">
        <v>2619</v>
      </c>
    </row>
    <row r="958" spans="1:13">
      <c r="A958" s="1">
        <f>HYPERLINK("https://lsnyc.legalserver.org/matter/dynamic-profile/view/1892216","19-1892216")</f>
        <v>0</v>
      </c>
      <c r="B958" t="s">
        <v>18</v>
      </c>
      <c r="C958" t="s">
        <v>27</v>
      </c>
      <c r="D958" t="s">
        <v>850</v>
      </c>
      <c r="E958" t="s">
        <v>2381</v>
      </c>
      <c r="F958" t="s">
        <v>2437</v>
      </c>
      <c r="I958" t="s">
        <v>2446</v>
      </c>
      <c r="J958" t="s">
        <v>2479</v>
      </c>
      <c r="K958" t="s">
        <v>2572</v>
      </c>
      <c r="L958" t="s">
        <v>2600</v>
      </c>
      <c r="M958" t="s">
        <v>2626</v>
      </c>
    </row>
    <row r="959" spans="1:13">
      <c r="A959" s="1">
        <f>HYPERLINK("https://lsnyc.legalserver.org/matter/dynamic-profile/view/1892225","19-1892225")</f>
        <v>0</v>
      </c>
      <c r="B959" t="s">
        <v>16</v>
      </c>
      <c r="C959" t="s">
        <v>46</v>
      </c>
      <c r="D959" t="s">
        <v>851</v>
      </c>
      <c r="E959" t="s">
        <v>2390</v>
      </c>
      <c r="F959" t="s">
        <v>2437</v>
      </c>
      <c r="J959" t="s">
        <v>2452</v>
      </c>
      <c r="K959" t="s">
        <v>2572</v>
      </c>
      <c r="M959" t="s">
        <v>2626</v>
      </c>
    </row>
    <row r="960" spans="1:13">
      <c r="A960" s="1">
        <f>HYPERLINK("https://lsnyc.legalserver.org/matter/dynamic-profile/view/1892260","19-1892260")</f>
        <v>0</v>
      </c>
      <c r="B960" t="s">
        <v>18</v>
      </c>
      <c r="C960" t="s">
        <v>27</v>
      </c>
      <c r="D960" t="s">
        <v>555</v>
      </c>
      <c r="E960" t="s">
        <v>2374</v>
      </c>
      <c r="F960" t="s">
        <v>2438</v>
      </c>
      <c r="J960" t="s">
        <v>2488</v>
      </c>
      <c r="K960" t="s">
        <v>2569</v>
      </c>
      <c r="M960" t="s">
        <v>2616</v>
      </c>
    </row>
    <row r="961" spans="1:13">
      <c r="A961" s="1">
        <f>HYPERLINK("https://lsnyc.legalserver.org/matter/dynamic-profile/view/1892129","19-1892129")</f>
        <v>0</v>
      </c>
      <c r="B961" t="s">
        <v>18</v>
      </c>
      <c r="C961" t="s">
        <v>45</v>
      </c>
      <c r="D961" t="s">
        <v>852</v>
      </c>
      <c r="E961" t="s">
        <v>2381</v>
      </c>
      <c r="F961" t="s">
        <v>2439</v>
      </c>
      <c r="I961" t="s">
        <v>2446</v>
      </c>
      <c r="J961" t="s">
        <v>2448</v>
      </c>
      <c r="K961" t="s">
        <v>2569</v>
      </c>
      <c r="L961" t="s">
        <v>2601</v>
      </c>
      <c r="M961" t="s">
        <v>2631</v>
      </c>
    </row>
    <row r="962" spans="1:13">
      <c r="A962" s="1">
        <f>HYPERLINK("https://lsnyc.legalserver.org/matter/dynamic-profile/view/1892119","19-1892119")</f>
        <v>0</v>
      </c>
      <c r="B962" t="s">
        <v>18</v>
      </c>
      <c r="C962" t="s">
        <v>27</v>
      </c>
      <c r="D962" t="s">
        <v>853</v>
      </c>
      <c r="E962" t="s">
        <v>2393</v>
      </c>
      <c r="F962" t="s">
        <v>2437</v>
      </c>
      <c r="I962" t="s">
        <v>2446</v>
      </c>
      <c r="J962" t="s">
        <v>2447</v>
      </c>
      <c r="K962" t="s">
        <v>2569</v>
      </c>
      <c r="L962" t="s">
        <v>2603</v>
      </c>
      <c r="M962" t="s">
        <v>2637</v>
      </c>
    </row>
    <row r="963" spans="1:13">
      <c r="A963" s="1">
        <f>HYPERLINK("https://lsnyc.legalserver.org/matter/dynamic-profile/view/1890744","19-1890744")</f>
        <v>0</v>
      </c>
      <c r="B963" t="s">
        <v>17</v>
      </c>
      <c r="C963" t="s">
        <v>25</v>
      </c>
      <c r="D963" t="s">
        <v>293</v>
      </c>
      <c r="E963" t="s">
        <v>2375</v>
      </c>
      <c r="F963" t="s">
        <v>2437</v>
      </c>
      <c r="J963" t="s">
        <v>2454</v>
      </c>
      <c r="K963" t="s">
        <v>2572</v>
      </c>
      <c r="L963" t="s">
        <v>2600</v>
      </c>
      <c r="M963" t="s">
        <v>2617</v>
      </c>
    </row>
    <row r="964" spans="1:13">
      <c r="A964" s="1">
        <f>HYPERLINK("https://lsnyc.legalserver.org/matter/dynamic-profile/view/1892073","19-1892073")</f>
        <v>0</v>
      </c>
      <c r="B964" t="s">
        <v>19</v>
      </c>
      <c r="C964" t="s">
        <v>38</v>
      </c>
      <c r="D964" t="s">
        <v>854</v>
      </c>
      <c r="E964" t="s">
        <v>2390</v>
      </c>
      <c r="F964" t="s">
        <v>2437</v>
      </c>
      <c r="I964" t="s">
        <v>2446</v>
      </c>
      <c r="J964" t="s">
        <v>2525</v>
      </c>
      <c r="K964" t="s">
        <v>2572</v>
      </c>
      <c r="L964" t="s">
        <v>2600</v>
      </c>
      <c r="M964" t="s">
        <v>2619</v>
      </c>
    </row>
    <row r="965" spans="1:13">
      <c r="A965" s="1">
        <f>HYPERLINK("https://lsnyc.legalserver.org/matter/dynamic-profile/view/1892105","19-1892105")</f>
        <v>0</v>
      </c>
      <c r="B965" t="s">
        <v>18</v>
      </c>
      <c r="C965" t="s">
        <v>45</v>
      </c>
      <c r="D965" t="s">
        <v>635</v>
      </c>
      <c r="E965" t="s">
        <v>2374</v>
      </c>
      <c r="F965" t="s">
        <v>2438</v>
      </c>
      <c r="I965" t="s">
        <v>2446</v>
      </c>
      <c r="J965" t="s">
        <v>2450</v>
      </c>
      <c r="K965" t="s">
        <v>2569</v>
      </c>
      <c r="M965" t="s">
        <v>2616</v>
      </c>
    </row>
    <row r="966" spans="1:13">
      <c r="A966" s="1">
        <f>HYPERLINK("https://lsnyc.legalserver.org/matter/dynamic-profile/view/1892157","19-1892157")</f>
        <v>0</v>
      </c>
      <c r="B966" t="s">
        <v>18</v>
      </c>
      <c r="C966" t="s">
        <v>27</v>
      </c>
      <c r="D966" t="s">
        <v>855</v>
      </c>
      <c r="E966" t="s">
        <v>2380</v>
      </c>
      <c r="F966" t="s">
        <v>2437</v>
      </c>
      <c r="J966" t="s">
        <v>2461</v>
      </c>
      <c r="K966" t="s">
        <v>2591</v>
      </c>
      <c r="L966" t="s">
        <v>2600</v>
      </c>
      <c r="M966" t="s">
        <v>2621</v>
      </c>
    </row>
    <row r="967" spans="1:13">
      <c r="A967" s="1">
        <f>HYPERLINK("https://lsnyc.legalserver.org/matter/dynamic-profile/view/1892163","19-1892163")</f>
        <v>0</v>
      </c>
      <c r="B967" t="s">
        <v>16</v>
      </c>
      <c r="C967" t="s">
        <v>23</v>
      </c>
      <c r="D967" t="s">
        <v>856</v>
      </c>
      <c r="E967" t="s">
        <v>2381</v>
      </c>
      <c r="F967" t="s">
        <v>2437</v>
      </c>
      <c r="I967" t="s">
        <v>2446</v>
      </c>
      <c r="J967" t="s">
        <v>2448</v>
      </c>
      <c r="K967" t="s">
        <v>2569</v>
      </c>
      <c r="M967" t="s">
        <v>2622</v>
      </c>
    </row>
    <row r="968" spans="1:13">
      <c r="A968" s="1">
        <f>HYPERLINK("https://lsnyc.legalserver.org/matter/dynamic-profile/view/1892168","19-1892168")</f>
        <v>0</v>
      </c>
      <c r="B968" t="s">
        <v>15</v>
      </c>
      <c r="C968" t="s">
        <v>49</v>
      </c>
      <c r="D968" t="s">
        <v>857</v>
      </c>
      <c r="E968" t="s">
        <v>2390</v>
      </c>
      <c r="F968" t="s">
        <v>2437</v>
      </c>
      <c r="I968" t="s">
        <v>2446</v>
      </c>
      <c r="J968" t="s">
        <v>2467</v>
      </c>
      <c r="K968" t="s">
        <v>2572</v>
      </c>
      <c r="M968" t="s">
        <v>2626</v>
      </c>
    </row>
    <row r="969" spans="1:13">
      <c r="A969" s="1">
        <f>HYPERLINK("https://lsnyc.legalserver.org/matter/dynamic-profile/view/1892009","19-1892009")</f>
        <v>0</v>
      </c>
      <c r="B969" t="s">
        <v>19</v>
      </c>
      <c r="C969" t="s">
        <v>62</v>
      </c>
      <c r="D969" t="s">
        <v>858</v>
      </c>
      <c r="E969" t="s">
        <v>2376</v>
      </c>
      <c r="F969" t="s">
        <v>2437</v>
      </c>
      <c r="I969" t="s">
        <v>2446</v>
      </c>
      <c r="J969" t="s">
        <v>2452</v>
      </c>
      <c r="K969" t="s">
        <v>2572</v>
      </c>
      <c r="L969" t="s">
        <v>2603</v>
      </c>
      <c r="M969" t="s">
        <v>2618</v>
      </c>
    </row>
    <row r="970" spans="1:13">
      <c r="A970" s="1">
        <f>HYPERLINK("https://lsnyc.legalserver.org/matter/dynamic-profile/view/1891956","19-1891956")</f>
        <v>0</v>
      </c>
      <c r="B970" t="s">
        <v>18</v>
      </c>
      <c r="C970" t="s">
        <v>27</v>
      </c>
      <c r="D970" t="s">
        <v>273</v>
      </c>
      <c r="E970" t="s">
        <v>2393</v>
      </c>
      <c r="F970" t="s">
        <v>2437</v>
      </c>
      <c r="J970" t="s">
        <v>2462</v>
      </c>
      <c r="K970" t="s">
        <v>2572</v>
      </c>
      <c r="L970" t="s">
        <v>2603</v>
      </c>
      <c r="M970" t="s">
        <v>2637</v>
      </c>
    </row>
    <row r="971" spans="1:13">
      <c r="A971" s="1">
        <f>HYPERLINK("https://lsnyc.legalserver.org/matter/dynamic-profile/view/1891955","19-1891955")</f>
        <v>0</v>
      </c>
      <c r="B971" t="s">
        <v>16</v>
      </c>
      <c r="C971" t="s">
        <v>23</v>
      </c>
      <c r="D971" t="s">
        <v>859</v>
      </c>
      <c r="E971" t="s">
        <v>2390</v>
      </c>
      <c r="F971" t="s">
        <v>2437</v>
      </c>
      <c r="I971" t="s">
        <v>2446</v>
      </c>
      <c r="J971" t="s">
        <v>2455</v>
      </c>
      <c r="K971" t="s">
        <v>2569</v>
      </c>
      <c r="M971" t="s">
        <v>2619</v>
      </c>
    </row>
    <row r="972" spans="1:13">
      <c r="A972" s="1">
        <f>HYPERLINK("https://lsnyc.legalserver.org/matter/dynamic-profile/view/1891970","19-1891970")</f>
        <v>0</v>
      </c>
      <c r="B972" t="s">
        <v>19</v>
      </c>
      <c r="C972" t="s">
        <v>47</v>
      </c>
      <c r="D972" t="s">
        <v>431</v>
      </c>
      <c r="E972" t="s">
        <v>2385</v>
      </c>
      <c r="F972" t="s">
        <v>2438</v>
      </c>
      <c r="I972" t="s">
        <v>2446</v>
      </c>
      <c r="J972" t="s">
        <v>2449</v>
      </c>
      <c r="K972" t="s">
        <v>2569</v>
      </c>
      <c r="M972" t="s">
        <v>2616</v>
      </c>
    </row>
    <row r="973" spans="1:13">
      <c r="A973" s="1">
        <f>HYPERLINK("https://lsnyc.legalserver.org/matter/dynamic-profile/view/1891981","19-1891981")</f>
        <v>0</v>
      </c>
      <c r="B973" t="s">
        <v>18</v>
      </c>
      <c r="C973" t="s">
        <v>45</v>
      </c>
      <c r="D973" t="s">
        <v>860</v>
      </c>
      <c r="E973" t="s">
        <v>2385</v>
      </c>
      <c r="F973" t="s">
        <v>2439</v>
      </c>
      <c r="I973" t="s">
        <v>2446</v>
      </c>
      <c r="J973" t="s">
        <v>2452</v>
      </c>
      <c r="K973" t="s">
        <v>2572</v>
      </c>
      <c r="M973" t="s">
        <v>2631</v>
      </c>
    </row>
    <row r="974" spans="1:13">
      <c r="A974" s="1">
        <f>HYPERLINK("https://lsnyc.legalserver.org/matter/dynamic-profile/view/1892025","19-1892025")</f>
        <v>0</v>
      </c>
      <c r="B974" t="s">
        <v>15</v>
      </c>
      <c r="C974" t="s">
        <v>30</v>
      </c>
      <c r="D974" t="s">
        <v>861</v>
      </c>
      <c r="E974" t="s">
        <v>2387</v>
      </c>
      <c r="F974" t="s">
        <v>2437</v>
      </c>
      <c r="I974" t="s">
        <v>2446</v>
      </c>
      <c r="J974" t="s">
        <v>2449</v>
      </c>
      <c r="K974" t="s">
        <v>2569</v>
      </c>
      <c r="L974" t="s">
        <v>2600</v>
      </c>
      <c r="M974" t="s">
        <v>2629</v>
      </c>
    </row>
    <row r="975" spans="1:13">
      <c r="A975" s="1">
        <f>HYPERLINK("https://lsnyc.legalserver.org/matter/dynamic-profile/view/1892043","19-1892043")</f>
        <v>0</v>
      </c>
      <c r="B975" t="s">
        <v>19</v>
      </c>
      <c r="C975" t="s">
        <v>50</v>
      </c>
      <c r="D975" t="s">
        <v>715</v>
      </c>
      <c r="E975" t="s">
        <v>2374</v>
      </c>
      <c r="F975" t="s">
        <v>2438</v>
      </c>
      <c r="I975" t="s">
        <v>2446</v>
      </c>
      <c r="J975" t="s">
        <v>2450</v>
      </c>
      <c r="K975" t="s">
        <v>2569</v>
      </c>
      <c r="M975" t="s">
        <v>2616</v>
      </c>
    </row>
    <row r="976" spans="1:13">
      <c r="A976" s="1">
        <f>HYPERLINK("https://lsnyc.legalserver.org/matter/dynamic-profile/view/1891799","19-1891799")</f>
        <v>0</v>
      </c>
      <c r="B976" t="s">
        <v>18</v>
      </c>
      <c r="C976" t="s">
        <v>45</v>
      </c>
      <c r="D976" t="s">
        <v>862</v>
      </c>
      <c r="E976" t="s">
        <v>2387</v>
      </c>
      <c r="F976" t="s">
        <v>2439</v>
      </c>
      <c r="I976" t="s">
        <v>2446</v>
      </c>
      <c r="J976" t="s">
        <v>2461</v>
      </c>
      <c r="K976" t="s">
        <v>2572</v>
      </c>
      <c r="L976" t="s">
        <v>2601</v>
      </c>
      <c r="M976" t="s">
        <v>2641</v>
      </c>
    </row>
    <row r="977" spans="1:14">
      <c r="A977" s="1">
        <f>HYPERLINK("https://lsnyc.legalserver.org/matter/dynamic-profile/view/1891784","19-1891784")</f>
        <v>0</v>
      </c>
      <c r="B977" t="s">
        <v>16</v>
      </c>
      <c r="C977" t="s">
        <v>24</v>
      </c>
      <c r="D977" t="s">
        <v>863</v>
      </c>
      <c r="E977" t="s">
        <v>2390</v>
      </c>
      <c r="F977" t="s">
        <v>2439</v>
      </c>
      <c r="I977" t="s">
        <v>2446</v>
      </c>
      <c r="J977" t="s">
        <v>2448</v>
      </c>
      <c r="K977" t="s">
        <v>2569</v>
      </c>
      <c r="L977" t="s">
        <v>2601</v>
      </c>
      <c r="M977" t="s">
        <v>2631</v>
      </c>
    </row>
    <row r="978" spans="1:14">
      <c r="A978" s="1">
        <f>HYPERLINK("https://lsnyc.legalserver.org/matter/dynamic-profile/view/1891732","19-1891732")</f>
        <v>0</v>
      </c>
      <c r="B978" t="s">
        <v>18</v>
      </c>
      <c r="C978" t="s">
        <v>34</v>
      </c>
      <c r="D978" t="s">
        <v>864</v>
      </c>
      <c r="E978" t="s">
        <v>2392</v>
      </c>
      <c r="F978" t="s">
        <v>2437</v>
      </c>
      <c r="J978" t="s">
        <v>2449</v>
      </c>
      <c r="K978" t="s">
        <v>2569</v>
      </c>
      <c r="L978" t="s">
        <v>2603</v>
      </c>
      <c r="M978" t="s">
        <v>2630</v>
      </c>
    </row>
    <row r="979" spans="1:14">
      <c r="A979" s="1">
        <f>HYPERLINK("https://lsnyc.legalserver.org/matter/dynamic-profile/view/1891762","19-1891762")</f>
        <v>0</v>
      </c>
      <c r="B979" t="s">
        <v>15</v>
      </c>
      <c r="C979" t="s">
        <v>49</v>
      </c>
      <c r="D979" t="s">
        <v>865</v>
      </c>
      <c r="E979" t="s">
        <v>2390</v>
      </c>
      <c r="F979" t="s">
        <v>2437</v>
      </c>
      <c r="J979" t="s">
        <v>2467</v>
      </c>
      <c r="K979" t="s">
        <v>2572</v>
      </c>
      <c r="M979" t="s">
        <v>2619</v>
      </c>
    </row>
    <row r="980" spans="1:14">
      <c r="A980" s="1">
        <f>HYPERLINK("https://lsnyc.legalserver.org/matter/dynamic-profile/view/1891768","19-1891768")</f>
        <v>0</v>
      </c>
      <c r="B980" t="s">
        <v>19</v>
      </c>
      <c r="C980" t="s">
        <v>38</v>
      </c>
      <c r="D980" t="s">
        <v>866</v>
      </c>
      <c r="E980" t="s">
        <v>2381</v>
      </c>
      <c r="F980" t="s">
        <v>2439</v>
      </c>
      <c r="I980" t="s">
        <v>2446</v>
      </c>
      <c r="J980" t="s">
        <v>2480</v>
      </c>
      <c r="K980" t="s">
        <v>2572</v>
      </c>
      <c r="L980" t="s">
        <v>2602</v>
      </c>
      <c r="M980" t="s">
        <v>2631</v>
      </c>
      <c r="N980" t="s">
        <v>2648</v>
      </c>
    </row>
    <row r="981" spans="1:14">
      <c r="A981" s="1">
        <f>HYPERLINK("https://lsnyc.legalserver.org/matter/dynamic-profile/view/1891770","19-1891770")</f>
        <v>0</v>
      </c>
      <c r="B981" t="s">
        <v>15</v>
      </c>
      <c r="C981" t="s">
        <v>49</v>
      </c>
      <c r="D981" t="s">
        <v>867</v>
      </c>
      <c r="E981" t="s">
        <v>2390</v>
      </c>
      <c r="F981" t="s">
        <v>2437</v>
      </c>
      <c r="J981" t="s">
        <v>2467</v>
      </c>
      <c r="K981" t="s">
        <v>2572</v>
      </c>
      <c r="M981" t="s">
        <v>2619</v>
      </c>
    </row>
    <row r="982" spans="1:14">
      <c r="A982" s="1">
        <f>HYPERLINK("https://lsnyc.legalserver.org/matter/dynamic-profile/view/1891828","19-1891828")</f>
        <v>0</v>
      </c>
      <c r="B982" t="s">
        <v>18</v>
      </c>
      <c r="C982" t="s">
        <v>34</v>
      </c>
      <c r="D982" t="s">
        <v>864</v>
      </c>
      <c r="E982" t="s">
        <v>2392</v>
      </c>
      <c r="F982" t="s">
        <v>2437</v>
      </c>
      <c r="J982" t="s">
        <v>2449</v>
      </c>
      <c r="K982" t="s">
        <v>2569</v>
      </c>
      <c r="L982" t="s">
        <v>2603</v>
      </c>
      <c r="M982" t="s">
        <v>2630</v>
      </c>
    </row>
    <row r="983" spans="1:14">
      <c r="A983" s="1">
        <f>HYPERLINK("https://lsnyc.legalserver.org/matter/dynamic-profile/view/1891657","19-1891657")</f>
        <v>0</v>
      </c>
      <c r="B983" t="s">
        <v>14</v>
      </c>
      <c r="C983" t="s">
        <v>20</v>
      </c>
      <c r="D983" t="s">
        <v>868</v>
      </c>
      <c r="E983" t="s">
        <v>2376</v>
      </c>
      <c r="F983" t="s">
        <v>2437</v>
      </c>
      <c r="I983" t="s">
        <v>2446</v>
      </c>
      <c r="J983" t="s">
        <v>2450</v>
      </c>
      <c r="K983" t="s">
        <v>2569</v>
      </c>
      <c r="L983" t="s">
        <v>2603</v>
      </c>
      <c r="M983" t="s">
        <v>2618</v>
      </c>
    </row>
    <row r="984" spans="1:14">
      <c r="A984" s="1">
        <f>HYPERLINK("https://lsnyc.legalserver.org/matter/dynamic-profile/view/1891661","19-1891661")</f>
        <v>0</v>
      </c>
      <c r="B984" t="s">
        <v>18</v>
      </c>
      <c r="C984" t="s">
        <v>45</v>
      </c>
      <c r="D984" t="s">
        <v>869</v>
      </c>
      <c r="E984" t="s">
        <v>2375</v>
      </c>
      <c r="F984" t="s">
        <v>2439</v>
      </c>
      <c r="I984" t="s">
        <v>2446</v>
      </c>
      <c r="J984" t="s">
        <v>2451</v>
      </c>
      <c r="K984" t="s">
        <v>2572</v>
      </c>
      <c r="L984" t="s">
        <v>2601</v>
      </c>
      <c r="M984" t="s">
        <v>2631</v>
      </c>
    </row>
    <row r="985" spans="1:14">
      <c r="A985" s="1">
        <f>HYPERLINK("https://lsnyc.legalserver.org/matter/dynamic-profile/view/1891672","19-1891672")</f>
        <v>0</v>
      </c>
      <c r="B985" t="s">
        <v>14</v>
      </c>
      <c r="C985" t="s">
        <v>20</v>
      </c>
      <c r="D985" t="s">
        <v>870</v>
      </c>
      <c r="E985" t="s">
        <v>2376</v>
      </c>
      <c r="F985" t="s">
        <v>2437</v>
      </c>
      <c r="I985" t="s">
        <v>2446</v>
      </c>
      <c r="J985" t="s">
        <v>2450</v>
      </c>
      <c r="K985" t="s">
        <v>2569</v>
      </c>
      <c r="L985" t="s">
        <v>2603</v>
      </c>
      <c r="M985" t="s">
        <v>2618</v>
      </c>
    </row>
    <row r="986" spans="1:14">
      <c r="A986" s="1">
        <f>HYPERLINK("https://lsnyc.legalserver.org/matter/dynamic-profile/view/1891668","19-1891668")</f>
        <v>0</v>
      </c>
      <c r="B986" t="s">
        <v>17</v>
      </c>
      <c r="C986" t="s">
        <v>25</v>
      </c>
      <c r="D986" t="s">
        <v>147</v>
      </c>
      <c r="E986" t="s">
        <v>2385</v>
      </c>
      <c r="F986" t="s">
        <v>2438</v>
      </c>
      <c r="I986" t="s">
        <v>2446</v>
      </c>
      <c r="J986" t="s">
        <v>2485</v>
      </c>
      <c r="K986" t="s">
        <v>2572</v>
      </c>
      <c r="M986" t="s">
        <v>2616</v>
      </c>
    </row>
    <row r="987" spans="1:14">
      <c r="A987" s="1">
        <f>HYPERLINK("https://lsnyc.legalserver.org/matter/dynamic-profile/view/1891695","19-1891695")</f>
        <v>0</v>
      </c>
      <c r="B987" t="s">
        <v>14</v>
      </c>
      <c r="C987" t="s">
        <v>20</v>
      </c>
      <c r="D987" t="s">
        <v>871</v>
      </c>
      <c r="E987" t="s">
        <v>2375</v>
      </c>
      <c r="F987" t="s">
        <v>2437</v>
      </c>
      <c r="J987" t="s">
        <v>2488</v>
      </c>
      <c r="K987" t="s">
        <v>2569</v>
      </c>
      <c r="L987" t="s">
        <v>2600</v>
      </c>
      <c r="M987" t="s">
        <v>2617</v>
      </c>
      <c r="N987" t="s">
        <v>2648</v>
      </c>
    </row>
    <row r="988" spans="1:14">
      <c r="A988" s="1">
        <f>HYPERLINK("https://lsnyc.legalserver.org/matter/dynamic-profile/view/1891701","19-1891701")</f>
        <v>0</v>
      </c>
      <c r="B988" t="s">
        <v>14</v>
      </c>
      <c r="C988" t="s">
        <v>20</v>
      </c>
      <c r="D988" t="s">
        <v>872</v>
      </c>
      <c r="E988" t="s">
        <v>2375</v>
      </c>
      <c r="F988" t="s">
        <v>2437</v>
      </c>
      <c r="J988" t="s">
        <v>2488</v>
      </c>
      <c r="K988" t="s">
        <v>2569</v>
      </c>
      <c r="M988" t="s">
        <v>2617</v>
      </c>
      <c r="N988" t="s">
        <v>2648</v>
      </c>
    </row>
    <row r="989" spans="1:14">
      <c r="A989" s="1">
        <f>HYPERLINK("https://lsnyc.legalserver.org/matter/dynamic-profile/view/1891704","19-1891704")</f>
        <v>0</v>
      </c>
      <c r="B989" t="s">
        <v>14</v>
      </c>
      <c r="C989" t="s">
        <v>20</v>
      </c>
      <c r="D989" t="s">
        <v>873</v>
      </c>
      <c r="E989" t="s">
        <v>2375</v>
      </c>
      <c r="F989" t="s">
        <v>2437</v>
      </c>
      <c r="J989" t="s">
        <v>2488</v>
      </c>
      <c r="K989" t="s">
        <v>2569</v>
      </c>
      <c r="M989" t="s">
        <v>2617</v>
      </c>
      <c r="N989" t="s">
        <v>2648</v>
      </c>
    </row>
    <row r="990" spans="1:14">
      <c r="A990" s="1">
        <f>HYPERLINK("https://lsnyc.legalserver.org/matter/dynamic-profile/view/1891721","19-1891721")</f>
        <v>0</v>
      </c>
      <c r="B990" t="s">
        <v>19</v>
      </c>
      <c r="C990" t="s">
        <v>50</v>
      </c>
      <c r="D990" t="s">
        <v>874</v>
      </c>
      <c r="E990" t="s">
        <v>2413</v>
      </c>
      <c r="F990" t="s">
        <v>2437</v>
      </c>
      <c r="I990" t="s">
        <v>2446</v>
      </c>
      <c r="J990" t="s">
        <v>2465</v>
      </c>
      <c r="K990" t="s">
        <v>2569</v>
      </c>
      <c r="L990" t="s">
        <v>2600</v>
      </c>
      <c r="M990" t="s">
        <v>2629</v>
      </c>
    </row>
    <row r="991" spans="1:14">
      <c r="A991" s="1">
        <f>HYPERLINK("https://lsnyc.legalserver.org/matter/dynamic-profile/view/1891722","19-1891722")</f>
        <v>0</v>
      </c>
      <c r="B991" t="s">
        <v>19</v>
      </c>
      <c r="C991" t="s">
        <v>50</v>
      </c>
      <c r="D991" t="s">
        <v>874</v>
      </c>
      <c r="E991" t="s">
        <v>2406</v>
      </c>
      <c r="F991" t="s">
        <v>2437</v>
      </c>
      <c r="J991" t="s">
        <v>2465</v>
      </c>
      <c r="K991" t="s">
        <v>2569</v>
      </c>
      <c r="L991" t="s">
        <v>2600</v>
      </c>
      <c r="M991" t="s">
        <v>2642</v>
      </c>
    </row>
    <row r="992" spans="1:14">
      <c r="A992" s="1">
        <f>HYPERLINK("https://lsnyc.legalserver.org/matter/dynamic-profile/view/1891723","19-1891723")</f>
        <v>0</v>
      </c>
      <c r="B992" t="s">
        <v>19</v>
      </c>
      <c r="C992" t="s">
        <v>50</v>
      </c>
      <c r="D992" t="s">
        <v>875</v>
      </c>
      <c r="E992" t="s">
        <v>2387</v>
      </c>
      <c r="F992" t="s">
        <v>2437</v>
      </c>
      <c r="J992" t="s">
        <v>2465</v>
      </c>
      <c r="K992" t="s">
        <v>2569</v>
      </c>
      <c r="L992" t="s">
        <v>2600</v>
      </c>
      <c r="M992" t="s">
        <v>2629</v>
      </c>
    </row>
    <row r="993" spans="1:13">
      <c r="A993" s="1">
        <f>HYPERLINK("https://lsnyc.legalserver.org/matter/dynamic-profile/view/1891724","19-1891724")</f>
        <v>0</v>
      </c>
      <c r="B993" t="s">
        <v>19</v>
      </c>
      <c r="C993" t="s">
        <v>50</v>
      </c>
      <c r="D993" t="s">
        <v>875</v>
      </c>
      <c r="E993" t="s">
        <v>2406</v>
      </c>
      <c r="F993" t="s">
        <v>2437</v>
      </c>
      <c r="I993" t="s">
        <v>2446</v>
      </c>
      <c r="J993" t="s">
        <v>2465</v>
      </c>
      <c r="K993" t="s">
        <v>2569</v>
      </c>
      <c r="L993" t="s">
        <v>2600</v>
      </c>
      <c r="M993" t="s">
        <v>2642</v>
      </c>
    </row>
    <row r="994" spans="1:13">
      <c r="A994" s="1">
        <f>HYPERLINK("https://lsnyc.legalserver.org/matter/dynamic-profile/view/1891725","19-1891725")</f>
        <v>0</v>
      </c>
      <c r="B994" t="s">
        <v>19</v>
      </c>
      <c r="C994" t="s">
        <v>50</v>
      </c>
      <c r="D994" t="s">
        <v>876</v>
      </c>
      <c r="E994" t="s">
        <v>2413</v>
      </c>
      <c r="F994" t="s">
        <v>2437</v>
      </c>
      <c r="I994" t="s">
        <v>2446</v>
      </c>
      <c r="J994" t="s">
        <v>2465</v>
      </c>
      <c r="K994" t="s">
        <v>2569</v>
      </c>
      <c r="L994" t="s">
        <v>2600</v>
      </c>
      <c r="M994" t="s">
        <v>2629</v>
      </c>
    </row>
    <row r="995" spans="1:13">
      <c r="A995" s="1">
        <f>HYPERLINK("https://lsnyc.legalserver.org/matter/dynamic-profile/view/1891726","19-1891726")</f>
        <v>0</v>
      </c>
      <c r="B995" t="s">
        <v>19</v>
      </c>
      <c r="C995" t="s">
        <v>50</v>
      </c>
      <c r="D995" t="s">
        <v>876</v>
      </c>
      <c r="E995" t="s">
        <v>2406</v>
      </c>
      <c r="F995" t="s">
        <v>2437</v>
      </c>
      <c r="I995" t="s">
        <v>2446</v>
      </c>
      <c r="J995" t="s">
        <v>2465</v>
      </c>
      <c r="K995" t="s">
        <v>2569</v>
      </c>
      <c r="L995" t="s">
        <v>2600</v>
      </c>
      <c r="M995" t="s">
        <v>2642</v>
      </c>
    </row>
    <row r="996" spans="1:13">
      <c r="A996" s="1">
        <f>HYPERLINK("https://lsnyc.legalserver.org/matter/dynamic-profile/view/1891427","19-1891427")</f>
        <v>0</v>
      </c>
      <c r="B996" t="s">
        <v>17</v>
      </c>
      <c r="C996" t="s">
        <v>60</v>
      </c>
      <c r="D996" t="s">
        <v>877</v>
      </c>
      <c r="E996" t="s">
        <v>2400</v>
      </c>
      <c r="F996" t="s">
        <v>2437</v>
      </c>
      <c r="J996" t="s">
        <v>2457</v>
      </c>
      <c r="L996" t="s">
        <v>2603</v>
      </c>
      <c r="M996" t="s">
        <v>2635</v>
      </c>
    </row>
    <row r="997" spans="1:13">
      <c r="A997" s="1">
        <f>HYPERLINK("https://lsnyc.legalserver.org/matter/dynamic-profile/view/1889375","19-1889375")</f>
        <v>0</v>
      </c>
      <c r="B997" t="s">
        <v>17</v>
      </c>
      <c r="C997" t="s">
        <v>25</v>
      </c>
      <c r="D997" t="s">
        <v>878</v>
      </c>
      <c r="E997" t="s">
        <v>2394</v>
      </c>
      <c r="F997" t="s">
        <v>2439</v>
      </c>
      <c r="I997" t="s">
        <v>2446</v>
      </c>
      <c r="J997" t="s">
        <v>2488</v>
      </c>
      <c r="K997" t="s">
        <v>2569</v>
      </c>
      <c r="L997" t="s">
        <v>2601</v>
      </c>
      <c r="M997" t="s">
        <v>2631</v>
      </c>
    </row>
    <row r="998" spans="1:13">
      <c r="A998" s="1">
        <f>HYPERLINK("https://lsnyc.legalserver.org/matter/dynamic-profile/view/1891538","19-1891538")</f>
        <v>0</v>
      </c>
      <c r="B998" t="s">
        <v>16</v>
      </c>
      <c r="C998" t="s">
        <v>24</v>
      </c>
      <c r="D998" t="s">
        <v>879</v>
      </c>
      <c r="E998" t="s">
        <v>2387</v>
      </c>
      <c r="F998" t="s">
        <v>2439</v>
      </c>
      <c r="I998" t="s">
        <v>2446</v>
      </c>
      <c r="J998" t="s">
        <v>2450</v>
      </c>
      <c r="K998" t="s">
        <v>2569</v>
      </c>
      <c r="L998" t="s">
        <v>2601</v>
      </c>
      <c r="M998" t="s">
        <v>2641</v>
      </c>
    </row>
    <row r="999" spans="1:13">
      <c r="A999" s="1">
        <f>HYPERLINK("https://lsnyc.legalserver.org/matter/dynamic-profile/view/1891428","19-1891428")</f>
        <v>0</v>
      </c>
      <c r="B999" t="s">
        <v>14</v>
      </c>
      <c r="C999" t="s">
        <v>26</v>
      </c>
      <c r="D999" t="s">
        <v>91</v>
      </c>
      <c r="E999" t="s">
        <v>2375</v>
      </c>
      <c r="F999" t="s">
        <v>2437</v>
      </c>
      <c r="I999" t="s">
        <v>2446</v>
      </c>
      <c r="J999" t="s">
        <v>2448</v>
      </c>
      <c r="K999" t="s">
        <v>2569</v>
      </c>
      <c r="M999" t="s">
        <v>2617</v>
      </c>
    </row>
    <row r="1000" spans="1:13">
      <c r="A1000" s="1">
        <f>HYPERLINK("https://lsnyc.legalserver.org/matter/dynamic-profile/view/1891429","19-1891429")</f>
        <v>0</v>
      </c>
      <c r="B1000" t="s">
        <v>16</v>
      </c>
      <c r="C1000" t="s">
        <v>23</v>
      </c>
      <c r="D1000" t="s">
        <v>880</v>
      </c>
      <c r="E1000" t="s">
        <v>2393</v>
      </c>
      <c r="F1000" t="s">
        <v>2437</v>
      </c>
      <c r="J1000" t="s">
        <v>2467</v>
      </c>
      <c r="M1000" t="s">
        <v>2626</v>
      </c>
    </row>
    <row r="1001" spans="1:13">
      <c r="A1001" s="1">
        <f>HYPERLINK("https://lsnyc.legalserver.org/matter/dynamic-profile/view/1891437","19-1891437")</f>
        <v>0</v>
      </c>
      <c r="B1001" t="s">
        <v>16</v>
      </c>
      <c r="C1001" t="s">
        <v>23</v>
      </c>
      <c r="D1001" t="s">
        <v>880</v>
      </c>
      <c r="E1001" t="s">
        <v>2381</v>
      </c>
      <c r="F1001" t="s">
        <v>2437</v>
      </c>
      <c r="I1001" t="s">
        <v>2446</v>
      </c>
      <c r="J1001" t="s">
        <v>2467</v>
      </c>
      <c r="M1001" t="s">
        <v>2626</v>
      </c>
    </row>
    <row r="1002" spans="1:13">
      <c r="A1002" s="1">
        <f>HYPERLINK("https://lsnyc.legalserver.org/matter/dynamic-profile/view/1891450","19-1891450")</f>
        <v>0</v>
      </c>
      <c r="B1002" t="s">
        <v>16</v>
      </c>
      <c r="C1002" t="s">
        <v>23</v>
      </c>
      <c r="D1002" t="s">
        <v>881</v>
      </c>
      <c r="E1002" t="s">
        <v>2376</v>
      </c>
      <c r="F1002" t="s">
        <v>2437</v>
      </c>
      <c r="I1002" t="s">
        <v>2446</v>
      </c>
      <c r="J1002" t="s">
        <v>2457</v>
      </c>
      <c r="K1002" t="s">
        <v>2569</v>
      </c>
      <c r="M1002" t="s">
        <v>2618</v>
      </c>
    </row>
    <row r="1003" spans="1:13">
      <c r="A1003" s="1">
        <f>HYPERLINK("https://lsnyc.legalserver.org/matter/dynamic-profile/view/1891459","19-1891459")</f>
        <v>0</v>
      </c>
      <c r="B1003" t="s">
        <v>15</v>
      </c>
      <c r="C1003" t="s">
        <v>37</v>
      </c>
      <c r="D1003" t="s">
        <v>882</v>
      </c>
      <c r="E1003" t="s">
        <v>2376</v>
      </c>
      <c r="F1003" t="s">
        <v>2437</v>
      </c>
      <c r="J1003" t="s">
        <v>2467</v>
      </c>
      <c r="K1003" t="s">
        <v>2572</v>
      </c>
      <c r="L1003" t="s">
        <v>2600</v>
      </c>
      <c r="M1003" t="s">
        <v>2618</v>
      </c>
    </row>
    <row r="1004" spans="1:13">
      <c r="A1004" s="1">
        <f>HYPERLINK("https://lsnyc.legalserver.org/matter/dynamic-profile/view/1891474","19-1891474")</f>
        <v>0</v>
      </c>
      <c r="B1004" t="s">
        <v>16</v>
      </c>
      <c r="C1004" t="s">
        <v>23</v>
      </c>
      <c r="D1004" t="s">
        <v>883</v>
      </c>
      <c r="E1004" t="s">
        <v>2383</v>
      </c>
      <c r="F1004" t="s">
        <v>2437</v>
      </c>
      <c r="I1004" t="s">
        <v>2446</v>
      </c>
      <c r="J1004" t="s">
        <v>2452</v>
      </c>
      <c r="M1004" t="s">
        <v>2624</v>
      </c>
    </row>
    <row r="1005" spans="1:13">
      <c r="A1005" s="1">
        <f>HYPERLINK("https://lsnyc.legalserver.org/matter/dynamic-profile/view/1891543","19-1891543")</f>
        <v>0</v>
      </c>
      <c r="B1005" t="s">
        <v>16</v>
      </c>
      <c r="C1005" t="s">
        <v>46</v>
      </c>
      <c r="D1005" t="s">
        <v>884</v>
      </c>
      <c r="E1005" t="s">
        <v>2390</v>
      </c>
      <c r="F1005" t="s">
        <v>2437</v>
      </c>
      <c r="I1005" t="s">
        <v>2446</v>
      </c>
      <c r="J1005" t="s">
        <v>2471</v>
      </c>
      <c r="K1005" t="s">
        <v>2572</v>
      </c>
      <c r="M1005" t="s">
        <v>2619</v>
      </c>
    </row>
    <row r="1006" spans="1:13">
      <c r="A1006" s="1">
        <f>HYPERLINK("https://lsnyc.legalserver.org/matter/dynamic-profile/view/1891386","19-1891386")</f>
        <v>0</v>
      </c>
      <c r="B1006" t="s">
        <v>15</v>
      </c>
      <c r="C1006" t="s">
        <v>39</v>
      </c>
      <c r="D1006" t="s">
        <v>885</v>
      </c>
      <c r="E1006" t="s">
        <v>2391</v>
      </c>
      <c r="F1006" t="s">
        <v>2438</v>
      </c>
      <c r="I1006" t="s">
        <v>2446</v>
      </c>
      <c r="J1006" t="s">
        <v>2465</v>
      </c>
      <c r="K1006" t="s">
        <v>2569</v>
      </c>
      <c r="L1006" t="s">
        <v>2601</v>
      </c>
      <c r="M1006" t="s">
        <v>2631</v>
      </c>
    </row>
    <row r="1007" spans="1:13">
      <c r="A1007" s="1">
        <f>HYPERLINK("https://lsnyc.legalserver.org/matter/dynamic-profile/view/1891380","19-1891380")</f>
        <v>0</v>
      </c>
      <c r="B1007" t="s">
        <v>16</v>
      </c>
      <c r="C1007" t="s">
        <v>46</v>
      </c>
      <c r="D1007" t="s">
        <v>886</v>
      </c>
      <c r="E1007" t="s">
        <v>2393</v>
      </c>
      <c r="F1007" t="s">
        <v>2437</v>
      </c>
      <c r="I1007" t="s">
        <v>2446</v>
      </c>
      <c r="J1007" t="s">
        <v>2448</v>
      </c>
      <c r="L1007" t="s">
        <v>2600</v>
      </c>
      <c r="M1007" t="s">
        <v>2637</v>
      </c>
    </row>
    <row r="1008" spans="1:13">
      <c r="A1008" s="1">
        <f>HYPERLINK("https://lsnyc.legalserver.org/matter/dynamic-profile/view/1891162","19-1891162")</f>
        <v>0</v>
      </c>
      <c r="B1008" t="s">
        <v>18</v>
      </c>
      <c r="C1008" t="s">
        <v>35</v>
      </c>
      <c r="D1008" t="s">
        <v>887</v>
      </c>
      <c r="E1008" t="s">
        <v>2394</v>
      </c>
      <c r="F1008" t="s">
        <v>2439</v>
      </c>
      <c r="H1008" t="s">
        <v>2445</v>
      </c>
      <c r="J1008" t="s">
        <v>2452</v>
      </c>
      <c r="K1008" t="s">
        <v>2572</v>
      </c>
      <c r="L1008" t="s">
        <v>2602</v>
      </c>
      <c r="M1008" t="s">
        <v>2631</v>
      </c>
    </row>
    <row r="1009" spans="1:14">
      <c r="A1009" s="1">
        <f>HYPERLINK("https://lsnyc.legalserver.org/matter/dynamic-profile/view/1891231","19-1891231")</f>
        <v>0</v>
      </c>
      <c r="B1009" t="s">
        <v>18</v>
      </c>
      <c r="C1009" t="s">
        <v>35</v>
      </c>
      <c r="D1009" t="s">
        <v>786</v>
      </c>
      <c r="E1009" t="s">
        <v>2381</v>
      </c>
      <c r="F1009" t="s">
        <v>2440</v>
      </c>
      <c r="I1009" t="s">
        <v>2446</v>
      </c>
      <c r="J1009" t="s">
        <v>2447</v>
      </c>
      <c r="K1009" t="s">
        <v>2569</v>
      </c>
      <c r="L1009" t="s">
        <v>2600</v>
      </c>
      <c r="M1009" t="s">
        <v>2631</v>
      </c>
    </row>
    <row r="1010" spans="1:14">
      <c r="A1010" s="1">
        <f>HYPERLINK("https://lsnyc.legalserver.org/matter/dynamic-profile/view/1891255","19-1891255")</f>
        <v>0</v>
      </c>
      <c r="B1010" t="s">
        <v>18</v>
      </c>
      <c r="C1010" t="s">
        <v>35</v>
      </c>
      <c r="D1010" t="s">
        <v>787</v>
      </c>
      <c r="E1010" t="s">
        <v>2381</v>
      </c>
      <c r="F1010" t="s">
        <v>2440</v>
      </c>
      <c r="I1010" t="s">
        <v>2446</v>
      </c>
      <c r="J1010" t="s">
        <v>2448</v>
      </c>
      <c r="K1010" t="s">
        <v>2569</v>
      </c>
      <c r="L1010" t="s">
        <v>2600</v>
      </c>
      <c r="M1010" t="s">
        <v>2631</v>
      </c>
    </row>
    <row r="1011" spans="1:14">
      <c r="A1011" s="1">
        <f>HYPERLINK("https://lsnyc.legalserver.org/matter/dynamic-profile/view/1891263","19-1891263")</f>
        <v>0</v>
      </c>
      <c r="B1011" t="s">
        <v>16</v>
      </c>
      <c r="C1011" t="s">
        <v>24</v>
      </c>
      <c r="D1011" t="s">
        <v>888</v>
      </c>
      <c r="E1011" t="s">
        <v>2387</v>
      </c>
      <c r="F1011" t="s">
        <v>2439</v>
      </c>
      <c r="I1011" t="s">
        <v>2446</v>
      </c>
      <c r="J1011" t="s">
        <v>2447</v>
      </c>
      <c r="K1011" t="s">
        <v>2569</v>
      </c>
      <c r="L1011" t="s">
        <v>2601</v>
      </c>
      <c r="M1011" t="s">
        <v>2641</v>
      </c>
    </row>
    <row r="1012" spans="1:14">
      <c r="A1012" s="1">
        <f>HYPERLINK("https://lsnyc.legalserver.org/matter/dynamic-profile/view/1891181","19-1891181")</f>
        <v>0</v>
      </c>
      <c r="B1012" t="s">
        <v>16</v>
      </c>
      <c r="C1012" t="s">
        <v>23</v>
      </c>
      <c r="D1012" t="s">
        <v>889</v>
      </c>
      <c r="E1012" t="s">
        <v>2390</v>
      </c>
      <c r="F1012" t="s">
        <v>2437</v>
      </c>
      <c r="I1012" t="s">
        <v>2446</v>
      </c>
      <c r="J1012" t="s">
        <v>2498</v>
      </c>
      <c r="K1012" t="s">
        <v>2593</v>
      </c>
      <c r="L1012" t="s">
        <v>2601</v>
      </c>
      <c r="M1012" t="s">
        <v>2631</v>
      </c>
    </row>
    <row r="1013" spans="1:14">
      <c r="A1013" s="1">
        <f>HYPERLINK("https://lsnyc.legalserver.org/matter/dynamic-profile/view/1891181","19-1891181")</f>
        <v>0</v>
      </c>
      <c r="B1013" t="s">
        <v>16</v>
      </c>
      <c r="C1013" t="s">
        <v>23</v>
      </c>
      <c r="D1013" t="s">
        <v>889</v>
      </c>
      <c r="E1013" t="s">
        <v>2390</v>
      </c>
      <c r="F1013" t="s">
        <v>2437</v>
      </c>
      <c r="I1013" t="s">
        <v>2446</v>
      </c>
      <c r="J1013" t="s">
        <v>2498</v>
      </c>
      <c r="K1013" t="s">
        <v>2593</v>
      </c>
      <c r="L1013" t="s">
        <v>2601</v>
      </c>
      <c r="M1013" t="s">
        <v>2631</v>
      </c>
    </row>
    <row r="1014" spans="1:14">
      <c r="A1014" s="1">
        <f>HYPERLINK("https://lsnyc.legalserver.org/matter/dynamic-profile/view/1891169","19-1891169")</f>
        <v>0</v>
      </c>
      <c r="B1014" t="s">
        <v>19</v>
      </c>
      <c r="C1014" t="s">
        <v>38</v>
      </c>
      <c r="D1014" t="s">
        <v>890</v>
      </c>
      <c r="E1014" t="s">
        <v>2390</v>
      </c>
      <c r="F1014" t="s">
        <v>2437</v>
      </c>
      <c r="H1014" t="s">
        <v>2445</v>
      </c>
      <c r="J1014" t="s">
        <v>2490</v>
      </c>
      <c r="K1014" t="s">
        <v>2572</v>
      </c>
      <c r="L1014" t="s">
        <v>2600</v>
      </c>
      <c r="M1014" t="s">
        <v>2619</v>
      </c>
      <c r="N1014" t="s">
        <v>2648</v>
      </c>
    </row>
    <row r="1015" spans="1:14">
      <c r="A1015" s="1">
        <f>HYPERLINK("https://lsnyc.legalserver.org/matter/dynamic-profile/view/1891187","19-1891187")</f>
        <v>0</v>
      </c>
      <c r="B1015" t="s">
        <v>18</v>
      </c>
      <c r="C1015" t="s">
        <v>35</v>
      </c>
      <c r="D1015" t="s">
        <v>891</v>
      </c>
      <c r="E1015" t="s">
        <v>2404</v>
      </c>
      <c r="F1015" t="s">
        <v>2441</v>
      </c>
      <c r="I1015" t="s">
        <v>2446</v>
      </c>
      <c r="J1015" t="s">
        <v>2448</v>
      </c>
      <c r="K1015" t="s">
        <v>2569</v>
      </c>
      <c r="M1015" t="s">
        <v>2640</v>
      </c>
    </row>
    <row r="1016" spans="1:14">
      <c r="A1016" s="1">
        <f>HYPERLINK("https://lsnyc.legalserver.org/matter/dynamic-profile/view/1891016","19-1891016")</f>
        <v>0</v>
      </c>
      <c r="B1016" t="s">
        <v>16</v>
      </c>
      <c r="C1016" t="s">
        <v>67</v>
      </c>
      <c r="D1016" t="s">
        <v>892</v>
      </c>
      <c r="E1016" t="s">
        <v>2387</v>
      </c>
      <c r="F1016" t="s">
        <v>2439</v>
      </c>
      <c r="I1016" t="s">
        <v>2446</v>
      </c>
      <c r="J1016" t="s">
        <v>2448</v>
      </c>
      <c r="K1016" t="s">
        <v>2569</v>
      </c>
      <c r="L1016" t="s">
        <v>2601</v>
      </c>
      <c r="M1016" t="s">
        <v>2641</v>
      </c>
    </row>
    <row r="1017" spans="1:14">
      <c r="A1017" s="1">
        <f>HYPERLINK("https://lsnyc.legalserver.org/matter/dynamic-profile/view/1891080","19-1891080")</f>
        <v>0</v>
      </c>
      <c r="B1017" t="s">
        <v>16</v>
      </c>
      <c r="C1017" t="s">
        <v>67</v>
      </c>
      <c r="D1017" t="s">
        <v>893</v>
      </c>
      <c r="E1017" t="s">
        <v>2390</v>
      </c>
      <c r="F1017" t="s">
        <v>2439</v>
      </c>
      <c r="I1017" t="s">
        <v>2446</v>
      </c>
      <c r="J1017" t="s">
        <v>2449</v>
      </c>
      <c r="K1017" t="s">
        <v>2569</v>
      </c>
      <c r="L1017" t="s">
        <v>2601</v>
      </c>
      <c r="M1017" t="s">
        <v>2631</v>
      </c>
    </row>
    <row r="1018" spans="1:14">
      <c r="A1018" s="1">
        <f>HYPERLINK("https://lsnyc.legalserver.org/matter/dynamic-profile/view/1890996","19-1890996")</f>
        <v>0</v>
      </c>
      <c r="B1018" t="s">
        <v>14</v>
      </c>
      <c r="C1018" t="s">
        <v>20</v>
      </c>
      <c r="D1018" t="s">
        <v>894</v>
      </c>
      <c r="E1018" t="s">
        <v>2376</v>
      </c>
      <c r="F1018" t="s">
        <v>2437</v>
      </c>
      <c r="J1018" t="s">
        <v>2450</v>
      </c>
      <c r="K1018" t="s">
        <v>2569</v>
      </c>
      <c r="L1018" t="s">
        <v>2603</v>
      </c>
      <c r="M1018" t="s">
        <v>2626</v>
      </c>
    </row>
    <row r="1019" spans="1:14">
      <c r="A1019" s="1">
        <f>HYPERLINK("https://lsnyc.legalserver.org/matter/dynamic-profile/view/1891012","19-1891012")</f>
        <v>0</v>
      </c>
      <c r="B1019" t="s">
        <v>15</v>
      </c>
      <c r="C1019" t="s">
        <v>32</v>
      </c>
      <c r="D1019" t="s">
        <v>895</v>
      </c>
      <c r="E1019" t="s">
        <v>2374</v>
      </c>
      <c r="F1019" t="s">
        <v>2439</v>
      </c>
      <c r="J1019" t="s">
        <v>2457</v>
      </c>
      <c r="K1019" t="s">
        <v>2569</v>
      </c>
      <c r="L1019" t="s">
        <v>2602</v>
      </c>
      <c r="M1019" t="s">
        <v>2631</v>
      </c>
      <c r="N1019" t="s">
        <v>2649</v>
      </c>
    </row>
    <row r="1020" spans="1:14">
      <c r="A1020" s="1">
        <f>HYPERLINK("https://lsnyc.legalserver.org/matter/dynamic-profile/view/1891129","19-1891129")</f>
        <v>0</v>
      </c>
      <c r="B1020" t="s">
        <v>16</v>
      </c>
      <c r="C1020" t="s">
        <v>23</v>
      </c>
      <c r="D1020" t="s">
        <v>896</v>
      </c>
      <c r="E1020" t="s">
        <v>2375</v>
      </c>
      <c r="F1020" t="s">
        <v>2437</v>
      </c>
      <c r="I1020" t="s">
        <v>2446</v>
      </c>
      <c r="J1020" t="s">
        <v>2471</v>
      </c>
      <c r="K1020" t="s">
        <v>2571</v>
      </c>
      <c r="M1020" t="s">
        <v>2617</v>
      </c>
    </row>
    <row r="1021" spans="1:14">
      <c r="A1021" s="1">
        <f>HYPERLINK("https://lsnyc.legalserver.org/matter/dynamic-profile/view/1891130","19-1891130")</f>
        <v>0</v>
      </c>
      <c r="B1021" t="s">
        <v>16</v>
      </c>
      <c r="C1021" t="s">
        <v>23</v>
      </c>
      <c r="D1021" t="s">
        <v>897</v>
      </c>
      <c r="E1021" t="s">
        <v>2375</v>
      </c>
      <c r="F1021" t="s">
        <v>2437</v>
      </c>
      <c r="I1021" t="s">
        <v>2446</v>
      </c>
      <c r="J1021" t="s">
        <v>2471</v>
      </c>
      <c r="K1021" t="s">
        <v>2571</v>
      </c>
      <c r="M1021" t="s">
        <v>2617</v>
      </c>
    </row>
    <row r="1022" spans="1:14">
      <c r="A1022" s="1">
        <f>HYPERLINK("https://lsnyc.legalserver.org/matter/dynamic-profile/view/1890872","19-1890872")</f>
        <v>0</v>
      </c>
      <c r="B1022" t="s">
        <v>16</v>
      </c>
      <c r="C1022" t="s">
        <v>24</v>
      </c>
      <c r="D1022" t="s">
        <v>898</v>
      </c>
      <c r="E1022" t="s">
        <v>2390</v>
      </c>
      <c r="F1022" t="s">
        <v>2436</v>
      </c>
      <c r="I1022" t="s">
        <v>2446</v>
      </c>
      <c r="J1022" t="s">
        <v>2467</v>
      </c>
      <c r="K1022" t="s">
        <v>2572</v>
      </c>
      <c r="L1022" t="s">
        <v>2601</v>
      </c>
      <c r="M1022" t="s">
        <v>2631</v>
      </c>
    </row>
    <row r="1023" spans="1:14">
      <c r="A1023" s="1">
        <f>HYPERLINK("https://lsnyc.legalserver.org/matter/dynamic-profile/view/1890859","19-1890859")</f>
        <v>0</v>
      </c>
      <c r="B1023" t="s">
        <v>18</v>
      </c>
      <c r="C1023" t="s">
        <v>27</v>
      </c>
      <c r="D1023" t="s">
        <v>273</v>
      </c>
      <c r="E1023" t="s">
        <v>2390</v>
      </c>
      <c r="F1023" t="s">
        <v>2440</v>
      </c>
      <c r="I1023" t="s">
        <v>2446</v>
      </c>
      <c r="J1023" t="s">
        <v>2462</v>
      </c>
      <c r="K1023" t="s">
        <v>2572</v>
      </c>
      <c r="M1023" t="s">
        <v>2631</v>
      </c>
    </row>
    <row r="1024" spans="1:14">
      <c r="A1024" s="1">
        <f>HYPERLINK("https://lsnyc.legalserver.org/matter/dynamic-profile/view/1890873","19-1890873")</f>
        <v>0</v>
      </c>
      <c r="B1024" t="s">
        <v>15</v>
      </c>
      <c r="C1024" t="s">
        <v>39</v>
      </c>
      <c r="D1024" t="s">
        <v>133</v>
      </c>
      <c r="E1024" t="s">
        <v>2385</v>
      </c>
      <c r="F1024" t="s">
        <v>2438</v>
      </c>
      <c r="J1024" t="s">
        <v>2455</v>
      </c>
      <c r="K1024" t="s">
        <v>2569</v>
      </c>
      <c r="L1024" t="s">
        <v>2600</v>
      </c>
      <c r="M1024" t="s">
        <v>2616</v>
      </c>
    </row>
    <row r="1025" spans="1:14">
      <c r="A1025" s="1">
        <f>HYPERLINK("https://lsnyc.legalserver.org/matter/dynamic-profile/view/1891337","19-1891337")</f>
        <v>0</v>
      </c>
      <c r="B1025" t="s">
        <v>17</v>
      </c>
      <c r="C1025" t="s">
        <v>42</v>
      </c>
      <c r="D1025" t="s">
        <v>899</v>
      </c>
      <c r="E1025" t="s">
        <v>2394</v>
      </c>
      <c r="F1025" t="s">
        <v>2437</v>
      </c>
      <c r="I1025" t="s">
        <v>2446</v>
      </c>
      <c r="J1025" t="s">
        <v>2447</v>
      </c>
      <c r="K1025" t="s">
        <v>2569</v>
      </c>
      <c r="L1025" t="s">
        <v>2600</v>
      </c>
      <c r="M1025" t="s">
        <v>2627</v>
      </c>
    </row>
    <row r="1026" spans="1:14">
      <c r="A1026" s="1">
        <f>HYPERLINK("https://lsnyc.legalserver.org/matter/dynamic-profile/view/1904593","19-1904593")</f>
        <v>0</v>
      </c>
      <c r="B1026" t="s">
        <v>15</v>
      </c>
      <c r="C1026" t="s">
        <v>30</v>
      </c>
      <c r="D1026" t="s">
        <v>900</v>
      </c>
      <c r="E1026" t="s">
        <v>2383</v>
      </c>
      <c r="F1026" t="s">
        <v>2437</v>
      </c>
      <c r="J1026" t="s">
        <v>2447</v>
      </c>
      <c r="K1026" t="s">
        <v>2569</v>
      </c>
      <c r="L1026" t="s">
        <v>2600</v>
      </c>
      <c r="M1026" t="s">
        <v>2624</v>
      </c>
    </row>
    <row r="1027" spans="1:14">
      <c r="A1027" s="1">
        <f>HYPERLINK("https://lsnyc.legalserver.org/matter/dynamic-profile/view/1890696","19-1890696")</f>
        <v>0</v>
      </c>
      <c r="B1027" t="s">
        <v>16</v>
      </c>
      <c r="C1027" t="s">
        <v>24</v>
      </c>
      <c r="D1027" t="s">
        <v>901</v>
      </c>
      <c r="E1027" t="s">
        <v>2375</v>
      </c>
      <c r="F1027" t="s">
        <v>2439</v>
      </c>
      <c r="I1027" t="s">
        <v>2446</v>
      </c>
      <c r="J1027" t="s">
        <v>2449</v>
      </c>
      <c r="K1027" t="s">
        <v>2569</v>
      </c>
      <c r="L1027" t="s">
        <v>2601</v>
      </c>
      <c r="M1027" t="s">
        <v>2631</v>
      </c>
    </row>
    <row r="1028" spans="1:14">
      <c r="A1028" s="1">
        <f>HYPERLINK("https://lsnyc.legalserver.org/matter/dynamic-profile/view/1890642","19-1890642")</f>
        <v>0</v>
      </c>
      <c r="B1028" t="s">
        <v>16</v>
      </c>
      <c r="C1028" t="s">
        <v>24</v>
      </c>
      <c r="D1028" t="s">
        <v>902</v>
      </c>
      <c r="E1028" t="s">
        <v>2375</v>
      </c>
      <c r="F1028" t="s">
        <v>2437</v>
      </c>
      <c r="I1028" t="s">
        <v>2446</v>
      </c>
      <c r="J1028" t="s">
        <v>2501</v>
      </c>
      <c r="K1028" t="s">
        <v>2571</v>
      </c>
      <c r="L1028" t="s">
        <v>2601</v>
      </c>
      <c r="M1028" t="s">
        <v>2631</v>
      </c>
    </row>
    <row r="1029" spans="1:14">
      <c r="A1029" s="1">
        <f>HYPERLINK("https://lsnyc.legalserver.org/matter/dynamic-profile/view/1886911","19-1886911")</f>
        <v>0</v>
      </c>
      <c r="B1029" t="s">
        <v>17</v>
      </c>
      <c r="C1029" t="s">
        <v>42</v>
      </c>
      <c r="D1029" t="s">
        <v>903</v>
      </c>
      <c r="E1029" t="s">
        <v>2385</v>
      </c>
      <c r="F1029" t="s">
        <v>2438</v>
      </c>
      <c r="I1029" t="s">
        <v>2446</v>
      </c>
      <c r="J1029" t="s">
        <v>2471</v>
      </c>
      <c r="K1029" t="s">
        <v>2572</v>
      </c>
      <c r="L1029" t="s">
        <v>2600</v>
      </c>
      <c r="M1029" t="s">
        <v>2616</v>
      </c>
    </row>
    <row r="1030" spans="1:14">
      <c r="A1030" s="1">
        <f>HYPERLINK("https://lsnyc.legalserver.org/matter/dynamic-profile/view/1891342","19-1891342")</f>
        <v>0</v>
      </c>
      <c r="B1030" t="s">
        <v>15</v>
      </c>
      <c r="C1030" t="s">
        <v>32</v>
      </c>
      <c r="D1030" t="s">
        <v>586</v>
      </c>
      <c r="E1030" t="s">
        <v>2374</v>
      </c>
      <c r="F1030" t="s">
        <v>2438</v>
      </c>
      <c r="J1030" t="s">
        <v>2450</v>
      </c>
      <c r="K1030" t="s">
        <v>2569</v>
      </c>
      <c r="L1030" t="s">
        <v>2600</v>
      </c>
      <c r="M1030" t="s">
        <v>2616</v>
      </c>
      <c r="N1030" t="s">
        <v>2649</v>
      </c>
    </row>
    <row r="1031" spans="1:14">
      <c r="A1031" s="1">
        <f>HYPERLINK("https://lsnyc.legalserver.org/matter/dynamic-profile/view/1890385","19-1890385")</f>
        <v>0</v>
      </c>
      <c r="B1031" t="s">
        <v>17</v>
      </c>
      <c r="C1031" t="s">
        <v>60</v>
      </c>
      <c r="D1031" t="s">
        <v>904</v>
      </c>
      <c r="E1031" t="s">
        <v>2374</v>
      </c>
      <c r="F1031" t="s">
        <v>2439</v>
      </c>
      <c r="I1031" t="s">
        <v>2446</v>
      </c>
      <c r="J1031" t="s">
        <v>2463</v>
      </c>
      <c r="K1031" t="s">
        <v>2575</v>
      </c>
      <c r="L1031" t="s">
        <v>2601</v>
      </c>
      <c r="M1031" t="s">
        <v>2631</v>
      </c>
    </row>
    <row r="1032" spans="1:14">
      <c r="A1032" s="1">
        <f>HYPERLINK("https://lsnyc.legalserver.org/matter/dynamic-profile/view/1890578","19-1890578")</f>
        <v>0</v>
      </c>
      <c r="B1032" t="s">
        <v>19</v>
      </c>
      <c r="C1032" t="s">
        <v>38</v>
      </c>
      <c r="D1032" t="s">
        <v>905</v>
      </c>
      <c r="E1032" t="s">
        <v>2381</v>
      </c>
      <c r="F1032" t="s">
        <v>2439</v>
      </c>
      <c r="I1032" t="s">
        <v>2446</v>
      </c>
      <c r="J1032" t="s">
        <v>2452</v>
      </c>
      <c r="K1032" t="s">
        <v>2572</v>
      </c>
      <c r="L1032" t="s">
        <v>2601</v>
      </c>
      <c r="M1032" t="s">
        <v>2631</v>
      </c>
    </row>
    <row r="1033" spans="1:14">
      <c r="A1033" s="1">
        <f>HYPERLINK("https://lsnyc.legalserver.org/matter/dynamic-profile/view/1890393","19-1890393")</f>
        <v>0</v>
      </c>
      <c r="B1033" t="s">
        <v>18</v>
      </c>
      <c r="C1033" t="s">
        <v>27</v>
      </c>
      <c r="D1033" t="s">
        <v>906</v>
      </c>
      <c r="E1033" t="s">
        <v>2393</v>
      </c>
      <c r="F1033" t="s">
        <v>2439</v>
      </c>
      <c r="J1033" t="s">
        <v>2448</v>
      </c>
      <c r="K1033" t="s">
        <v>2569</v>
      </c>
      <c r="L1033" t="s">
        <v>2602</v>
      </c>
      <c r="M1033" t="s">
        <v>2631</v>
      </c>
    </row>
    <row r="1034" spans="1:14">
      <c r="A1034" s="1">
        <f>HYPERLINK("https://lsnyc.legalserver.org/matter/dynamic-profile/view/1890484","19-1890484")</f>
        <v>0</v>
      </c>
      <c r="B1034" t="s">
        <v>18</v>
      </c>
      <c r="C1034" t="s">
        <v>27</v>
      </c>
      <c r="D1034" t="s">
        <v>906</v>
      </c>
      <c r="E1034" t="s">
        <v>2390</v>
      </c>
      <c r="F1034" t="s">
        <v>2439</v>
      </c>
      <c r="J1034" t="s">
        <v>2448</v>
      </c>
      <c r="K1034" t="s">
        <v>2569</v>
      </c>
      <c r="L1034" t="s">
        <v>2602</v>
      </c>
      <c r="M1034" t="s">
        <v>2631</v>
      </c>
    </row>
    <row r="1035" spans="1:14">
      <c r="A1035" s="1">
        <f>HYPERLINK("https://lsnyc.legalserver.org/matter/dynamic-profile/view/1890422","19-1890422")</f>
        <v>0</v>
      </c>
      <c r="B1035" t="s">
        <v>14</v>
      </c>
      <c r="C1035" t="s">
        <v>20</v>
      </c>
      <c r="D1035" t="s">
        <v>907</v>
      </c>
      <c r="E1035" t="s">
        <v>2385</v>
      </c>
      <c r="F1035" t="s">
        <v>2438</v>
      </c>
      <c r="G1035" t="s">
        <v>2444</v>
      </c>
      <c r="H1035" t="s">
        <v>2445</v>
      </c>
      <c r="J1035" t="s">
        <v>2485</v>
      </c>
      <c r="K1035" t="s">
        <v>2572</v>
      </c>
      <c r="M1035" t="s">
        <v>2616</v>
      </c>
      <c r="N1035" t="s">
        <v>2648</v>
      </c>
    </row>
    <row r="1036" spans="1:14">
      <c r="A1036" s="1">
        <f>HYPERLINK("https://lsnyc.legalserver.org/matter/dynamic-profile/view/1890450","19-1890450")</f>
        <v>0</v>
      </c>
      <c r="B1036" t="s">
        <v>18</v>
      </c>
      <c r="C1036" t="s">
        <v>27</v>
      </c>
      <c r="D1036" t="s">
        <v>555</v>
      </c>
      <c r="E1036" t="s">
        <v>2385</v>
      </c>
      <c r="F1036" t="s">
        <v>2438</v>
      </c>
      <c r="J1036" t="s">
        <v>2488</v>
      </c>
      <c r="K1036" t="s">
        <v>2569</v>
      </c>
      <c r="L1036" t="s">
        <v>2600</v>
      </c>
      <c r="M1036" t="s">
        <v>2616</v>
      </c>
    </row>
    <row r="1037" spans="1:14">
      <c r="A1037" s="1">
        <f>HYPERLINK("https://lsnyc.legalserver.org/matter/dynamic-profile/view/1890469","19-1890469")</f>
        <v>0</v>
      </c>
      <c r="B1037" t="s">
        <v>15</v>
      </c>
      <c r="C1037" t="s">
        <v>37</v>
      </c>
      <c r="D1037" t="s">
        <v>908</v>
      </c>
      <c r="E1037" t="s">
        <v>2374</v>
      </c>
      <c r="F1037" t="s">
        <v>2438</v>
      </c>
      <c r="J1037" t="s">
        <v>2450</v>
      </c>
      <c r="K1037" t="s">
        <v>2569</v>
      </c>
      <c r="M1037" t="s">
        <v>2616</v>
      </c>
    </row>
    <row r="1038" spans="1:14">
      <c r="A1038" s="1">
        <f>HYPERLINK("https://lsnyc.legalserver.org/matter/dynamic-profile/view/1890294","19-1890294")</f>
        <v>0</v>
      </c>
      <c r="B1038" t="s">
        <v>16</v>
      </c>
      <c r="C1038" t="s">
        <v>24</v>
      </c>
      <c r="D1038" t="s">
        <v>909</v>
      </c>
      <c r="E1038" t="s">
        <v>2390</v>
      </c>
      <c r="F1038" t="s">
        <v>2439</v>
      </c>
      <c r="J1038" t="s">
        <v>2450</v>
      </c>
      <c r="K1038" t="s">
        <v>2572</v>
      </c>
      <c r="L1038" t="s">
        <v>2601</v>
      </c>
      <c r="M1038" t="s">
        <v>2631</v>
      </c>
    </row>
    <row r="1039" spans="1:14">
      <c r="A1039" s="1">
        <f>HYPERLINK("https://lsnyc.legalserver.org/matter/dynamic-profile/view/1889452","19-1889452")</f>
        <v>0</v>
      </c>
      <c r="B1039" t="s">
        <v>15</v>
      </c>
      <c r="C1039" t="s">
        <v>22</v>
      </c>
      <c r="D1039" t="s">
        <v>398</v>
      </c>
      <c r="E1039" t="s">
        <v>2374</v>
      </c>
      <c r="F1039" t="s">
        <v>2438</v>
      </c>
      <c r="J1039" t="s">
        <v>2455</v>
      </c>
      <c r="K1039" t="s">
        <v>2569</v>
      </c>
      <c r="M1039" t="s">
        <v>2616</v>
      </c>
    </row>
    <row r="1040" spans="1:14">
      <c r="A1040" s="1">
        <f>HYPERLINK("https://lsnyc.legalserver.org/matter/dynamic-profile/view/1890224","19-1890224")</f>
        <v>0</v>
      </c>
      <c r="B1040" t="s">
        <v>19</v>
      </c>
      <c r="C1040" t="s">
        <v>48</v>
      </c>
      <c r="D1040" t="s">
        <v>910</v>
      </c>
      <c r="E1040" t="s">
        <v>2374</v>
      </c>
      <c r="F1040" t="s">
        <v>2438</v>
      </c>
      <c r="I1040" t="s">
        <v>2446</v>
      </c>
      <c r="J1040" t="s">
        <v>2482</v>
      </c>
      <c r="M1040" t="s">
        <v>2616</v>
      </c>
    </row>
    <row r="1041" spans="1:13">
      <c r="A1041" s="1">
        <f>HYPERLINK("https://lsnyc.legalserver.org/matter/dynamic-profile/view/1890244","19-1890244")</f>
        <v>0</v>
      </c>
      <c r="B1041" t="s">
        <v>14</v>
      </c>
      <c r="C1041" t="s">
        <v>26</v>
      </c>
      <c r="D1041" t="s">
        <v>911</v>
      </c>
      <c r="E1041" t="s">
        <v>2385</v>
      </c>
      <c r="F1041" t="s">
        <v>2438</v>
      </c>
      <c r="I1041" t="s">
        <v>2446</v>
      </c>
      <c r="J1041" t="s">
        <v>2450</v>
      </c>
      <c r="K1041" t="s">
        <v>2569</v>
      </c>
      <c r="M1041" t="s">
        <v>2616</v>
      </c>
    </row>
    <row r="1042" spans="1:13">
      <c r="A1042" s="1">
        <f>HYPERLINK("https://lsnyc.legalserver.org/matter/dynamic-profile/view/1890248","19-1890248")</f>
        <v>0</v>
      </c>
      <c r="B1042" t="s">
        <v>14</v>
      </c>
      <c r="C1042" t="s">
        <v>26</v>
      </c>
      <c r="D1042" t="s">
        <v>911</v>
      </c>
      <c r="E1042" t="s">
        <v>2403</v>
      </c>
      <c r="F1042" t="s">
        <v>2441</v>
      </c>
      <c r="I1042" t="s">
        <v>2446</v>
      </c>
      <c r="J1042" t="s">
        <v>2450</v>
      </c>
      <c r="K1042" t="s">
        <v>2569</v>
      </c>
      <c r="M1042" t="s">
        <v>2639</v>
      </c>
    </row>
    <row r="1043" spans="1:13">
      <c r="A1043" s="1">
        <f>HYPERLINK("https://lsnyc.legalserver.org/matter/dynamic-profile/view/1890321","19-1890321")</f>
        <v>0</v>
      </c>
      <c r="B1043" t="s">
        <v>14</v>
      </c>
      <c r="C1043" t="s">
        <v>26</v>
      </c>
      <c r="D1043" t="s">
        <v>150</v>
      </c>
      <c r="E1043" t="s">
        <v>2385</v>
      </c>
      <c r="F1043" t="s">
        <v>2438</v>
      </c>
      <c r="I1043" t="s">
        <v>2446</v>
      </c>
      <c r="J1043" t="s">
        <v>2450</v>
      </c>
      <c r="K1043" t="s">
        <v>2569</v>
      </c>
      <c r="M1043" t="s">
        <v>2616</v>
      </c>
    </row>
    <row r="1044" spans="1:13">
      <c r="A1044" s="1">
        <f>HYPERLINK("https://lsnyc.legalserver.org/matter/dynamic-profile/view/1890326","19-1890326")</f>
        <v>0</v>
      </c>
      <c r="B1044" t="s">
        <v>14</v>
      </c>
      <c r="C1044" t="s">
        <v>26</v>
      </c>
      <c r="D1044" t="s">
        <v>150</v>
      </c>
      <c r="E1044" t="s">
        <v>2391</v>
      </c>
      <c r="F1044" t="s">
        <v>2437</v>
      </c>
      <c r="I1044" t="s">
        <v>2446</v>
      </c>
      <c r="J1044" t="s">
        <v>2450</v>
      </c>
      <c r="K1044" t="s">
        <v>2569</v>
      </c>
      <c r="M1044" t="s">
        <v>2615</v>
      </c>
    </row>
    <row r="1045" spans="1:13">
      <c r="A1045" s="1">
        <f>HYPERLINK("https://lsnyc.legalserver.org/matter/dynamic-profile/view/1890085","19-1890085")</f>
        <v>0</v>
      </c>
      <c r="B1045" t="s">
        <v>18</v>
      </c>
      <c r="C1045" t="s">
        <v>27</v>
      </c>
      <c r="D1045" t="s">
        <v>906</v>
      </c>
      <c r="E1045" t="s">
        <v>2381</v>
      </c>
      <c r="F1045" t="s">
        <v>2439</v>
      </c>
      <c r="I1045" t="s">
        <v>2446</v>
      </c>
      <c r="J1045" t="s">
        <v>2448</v>
      </c>
      <c r="K1045" t="s">
        <v>2569</v>
      </c>
      <c r="L1045" t="s">
        <v>2602</v>
      </c>
      <c r="M1045" t="s">
        <v>2631</v>
      </c>
    </row>
    <row r="1046" spans="1:13">
      <c r="A1046" s="1">
        <f>HYPERLINK("https://lsnyc.legalserver.org/matter/dynamic-profile/view/1890089","19-1890089")</f>
        <v>0</v>
      </c>
      <c r="B1046" t="s">
        <v>16</v>
      </c>
      <c r="C1046" t="s">
        <v>24</v>
      </c>
      <c r="D1046" t="s">
        <v>912</v>
      </c>
      <c r="E1046" t="s">
        <v>2390</v>
      </c>
      <c r="F1046" t="s">
        <v>2439</v>
      </c>
      <c r="I1046" t="s">
        <v>2446</v>
      </c>
      <c r="J1046" t="s">
        <v>2524</v>
      </c>
      <c r="K1046" t="s">
        <v>2569</v>
      </c>
      <c r="L1046" t="s">
        <v>2601</v>
      </c>
      <c r="M1046" t="s">
        <v>2631</v>
      </c>
    </row>
    <row r="1047" spans="1:13">
      <c r="A1047" s="1">
        <f>HYPERLINK("https://lsnyc.legalserver.org/matter/dynamic-profile/view/1890110","19-1890110")</f>
        <v>0</v>
      </c>
      <c r="B1047" t="s">
        <v>19</v>
      </c>
      <c r="C1047" t="s">
        <v>54</v>
      </c>
      <c r="D1047" t="s">
        <v>913</v>
      </c>
      <c r="E1047" t="s">
        <v>2374</v>
      </c>
      <c r="F1047" t="s">
        <v>2438</v>
      </c>
      <c r="I1047" t="s">
        <v>2446</v>
      </c>
      <c r="J1047" t="s">
        <v>2448</v>
      </c>
      <c r="K1047" t="s">
        <v>2569</v>
      </c>
      <c r="M1047" t="s">
        <v>2626</v>
      </c>
    </row>
    <row r="1048" spans="1:13">
      <c r="A1048" s="1">
        <f>HYPERLINK("https://lsnyc.legalserver.org/matter/dynamic-profile/view/1890126","19-1890126")</f>
        <v>0</v>
      </c>
      <c r="B1048" t="s">
        <v>14</v>
      </c>
      <c r="C1048" t="s">
        <v>33</v>
      </c>
      <c r="D1048" t="s">
        <v>914</v>
      </c>
      <c r="E1048" t="s">
        <v>2391</v>
      </c>
      <c r="F1048" t="s">
        <v>2441</v>
      </c>
      <c r="K1048" t="s">
        <v>2572</v>
      </c>
      <c r="M1048" t="s">
        <v>2615</v>
      </c>
    </row>
    <row r="1049" spans="1:13">
      <c r="A1049" s="1">
        <f>HYPERLINK("https://lsnyc.legalserver.org/matter/dynamic-profile/view/1890129","19-1890129")</f>
        <v>0</v>
      </c>
      <c r="B1049" t="s">
        <v>14</v>
      </c>
      <c r="C1049" t="s">
        <v>33</v>
      </c>
      <c r="D1049" t="s">
        <v>915</v>
      </c>
      <c r="E1049" t="s">
        <v>2391</v>
      </c>
      <c r="F1049" t="s">
        <v>2441</v>
      </c>
      <c r="K1049" t="s">
        <v>2572</v>
      </c>
      <c r="M1049" t="s">
        <v>2615</v>
      </c>
    </row>
    <row r="1050" spans="1:13">
      <c r="A1050" s="1">
        <f>HYPERLINK("https://lsnyc.legalserver.org/matter/dynamic-profile/view/1890149","19-1890149")</f>
        <v>0</v>
      </c>
      <c r="B1050" t="s">
        <v>18</v>
      </c>
      <c r="C1050" t="s">
        <v>27</v>
      </c>
      <c r="D1050" t="s">
        <v>273</v>
      </c>
      <c r="E1050" t="s">
        <v>2381</v>
      </c>
      <c r="F1050" t="s">
        <v>2437</v>
      </c>
      <c r="I1050" t="s">
        <v>2446</v>
      </c>
      <c r="J1050" t="s">
        <v>2462</v>
      </c>
      <c r="K1050" t="s">
        <v>2572</v>
      </c>
      <c r="L1050" t="s">
        <v>2600</v>
      </c>
      <c r="M1050" t="s">
        <v>2622</v>
      </c>
    </row>
    <row r="1051" spans="1:13">
      <c r="A1051" s="1">
        <f>HYPERLINK("https://lsnyc.legalserver.org/matter/dynamic-profile/view/1890316","19-1890316")</f>
        <v>0</v>
      </c>
      <c r="B1051" t="s">
        <v>18</v>
      </c>
      <c r="C1051" t="s">
        <v>27</v>
      </c>
      <c r="D1051" t="s">
        <v>853</v>
      </c>
      <c r="E1051" t="s">
        <v>2381</v>
      </c>
      <c r="F1051" t="s">
        <v>2437</v>
      </c>
      <c r="I1051" t="s">
        <v>2446</v>
      </c>
      <c r="J1051" t="s">
        <v>2447</v>
      </c>
      <c r="K1051" t="s">
        <v>2569</v>
      </c>
      <c r="L1051" t="s">
        <v>2600</v>
      </c>
      <c r="M1051" t="s">
        <v>2622</v>
      </c>
    </row>
    <row r="1052" spans="1:13">
      <c r="A1052" s="1">
        <f>HYPERLINK("https://lsnyc.legalserver.org/matter/dynamic-profile/view/1890027","19-1890027")</f>
        <v>0</v>
      </c>
      <c r="B1052" t="s">
        <v>18</v>
      </c>
      <c r="C1052" t="s">
        <v>27</v>
      </c>
      <c r="D1052" t="s">
        <v>916</v>
      </c>
      <c r="E1052" t="s">
        <v>2374</v>
      </c>
      <c r="F1052" t="s">
        <v>2439</v>
      </c>
      <c r="I1052" t="s">
        <v>2446</v>
      </c>
      <c r="J1052" t="s">
        <v>2448</v>
      </c>
      <c r="K1052" t="s">
        <v>2569</v>
      </c>
      <c r="L1052" t="s">
        <v>2602</v>
      </c>
      <c r="M1052" t="s">
        <v>2631</v>
      </c>
    </row>
    <row r="1053" spans="1:13">
      <c r="A1053" s="1">
        <f>HYPERLINK("https://lsnyc.legalserver.org/matter/dynamic-profile/view/1889880","19-1889880")</f>
        <v>0</v>
      </c>
      <c r="B1053" t="s">
        <v>14</v>
      </c>
      <c r="C1053" t="s">
        <v>26</v>
      </c>
      <c r="D1053" t="s">
        <v>406</v>
      </c>
      <c r="E1053" t="s">
        <v>2374</v>
      </c>
      <c r="F1053" t="s">
        <v>2438</v>
      </c>
      <c r="I1053" t="s">
        <v>2446</v>
      </c>
      <c r="J1053" t="s">
        <v>2465</v>
      </c>
      <c r="K1053" t="s">
        <v>2569</v>
      </c>
      <c r="M1053" t="s">
        <v>2616</v>
      </c>
    </row>
    <row r="1054" spans="1:13">
      <c r="A1054" s="1">
        <f>HYPERLINK("https://lsnyc.legalserver.org/matter/dynamic-profile/view/1889888","19-1889888")</f>
        <v>0</v>
      </c>
      <c r="B1054" t="s">
        <v>15</v>
      </c>
      <c r="C1054" t="s">
        <v>39</v>
      </c>
      <c r="D1054" t="s">
        <v>563</v>
      </c>
      <c r="E1054" t="s">
        <v>2385</v>
      </c>
      <c r="F1054" t="s">
        <v>2438</v>
      </c>
      <c r="I1054" t="s">
        <v>2446</v>
      </c>
      <c r="J1054" t="s">
        <v>2449</v>
      </c>
      <c r="K1054" t="s">
        <v>2569</v>
      </c>
      <c r="M1054" t="s">
        <v>2616</v>
      </c>
    </row>
    <row r="1055" spans="1:13">
      <c r="A1055" s="1">
        <f>HYPERLINK("https://lsnyc.legalserver.org/matter/dynamic-profile/view/1889890","19-1889890")</f>
        <v>0</v>
      </c>
      <c r="B1055" t="s">
        <v>14</v>
      </c>
      <c r="C1055" t="s">
        <v>26</v>
      </c>
      <c r="D1055" t="s">
        <v>406</v>
      </c>
      <c r="E1055" t="s">
        <v>2403</v>
      </c>
      <c r="F1055" t="s">
        <v>2441</v>
      </c>
      <c r="J1055" t="s">
        <v>2465</v>
      </c>
      <c r="K1055" t="s">
        <v>2569</v>
      </c>
      <c r="M1055" t="s">
        <v>2639</v>
      </c>
    </row>
    <row r="1056" spans="1:13">
      <c r="A1056" s="1">
        <f>HYPERLINK("https://lsnyc.legalserver.org/matter/dynamic-profile/view/1889938","19-1889938")</f>
        <v>0</v>
      </c>
      <c r="B1056" t="s">
        <v>15</v>
      </c>
      <c r="C1056" t="s">
        <v>39</v>
      </c>
      <c r="D1056" t="s">
        <v>564</v>
      </c>
      <c r="E1056" t="s">
        <v>2391</v>
      </c>
      <c r="F1056" t="s">
        <v>2437</v>
      </c>
      <c r="I1056" t="s">
        <v>2446</v>
      </c>
      <c r="J1056" t="s">
        <v>2449</v>
      </c>
      <c r="K1056" t="s">
        <v>2569</v>
      </c>
      <c r="M1056" t="s">
        <v>2615</v>
      </c>
    </row>
    <row r="1057" spans="1:14">
      <c r="A1057" s="1">
        <f>HYPERLINK("https://lsnyc.legalserver.org/matter/dynamic-profile/view/1889947","19-1889947")</f>
        <v>0</v>
      </c>
      <c r="B1057" t="s">
        <v>14</v>
      </c>
      <c r="C1057" t="s">
        <v>26</v>
      </c>
      <c r="D1057" t="s">
        <v>917</v>
      </c>
      <c r="E1057" t="s">
        <v>2385</v>
      </c>
      <c r="F1057" t="s">
        <v>2438</v>
      </c>
      <c r="I1057" t="s">
        <v>2446</v>
      </c>
      <c r="J1057" t="s">
        <v>2465</v>
      </c>
      <c r="K1057" t="s">
        <v>2569</v>
      </c>
      <c r="M1057" t="s">
        <v>2616</v>
      </c>
    </row>
    <row r="1058" spans="1:14">
      <c r="A1058" s="1">
        <f>HYPERLINK("https://lsnyc.legalserver.org/matter/dynamic-profile/view/1889953","19-1889953")</f>
        <v>0</v>
      </c>
      <c r="B1058" t="s">
        <v>14</v>
      </c>
      <c r="C1058" t="s">
        <v>26</v>
      </c>
      <c r="D1058" t="s">
        <v>917</v>
      </c>
      <c r="E1058" t="s">
        <v>2391</v>
      </c>
      <c r="F1058" t="s">
        <v>2437</v>
      </c>
      <c r="I1058" t="s">
        <v>2446</v>
      </c>
      <c r="J1058" t="s">
        <v>2465</v>
      </c>
      <c r="K1058" t="s">
        <v>2569</v>
      </c>
      <c r="M1058" t="s">
        <v>2615</v>
      </c>
    </row>
    <row r="1059" spans="1:14">
      <c r="A1059" s="1">
        <f>HYPERLINK("https://lsnyc.legalserver.org/matter/dynamic-profile/view/1889961","19-1889961")</f>
        <v>0</v>
      </c>
      <c r="B1059" t="s">
        <v>14</v>
      </c>
      <c r="C1059" t="s">
        <v>26</v>
      </c>
      <c r="D1059" t="s">
        <v>917</v>
      </c>
      <c r="E1059" t="s">
        <v>2374</v>
      </c>
      <c r="F1059" t="s">
        <v>2438</v>
      </c>
      <c r="I1059" t="s">
        <v>2446</v>
      </c>
      <c r="J1059" t="s">
        <v>2465</v>
      </c>
      <c r="K1059" t="s">
        <v>2569</v>
      </c>
      <c r="M1059" t="s">
        <v>2616</v>
      </c>
    </row>
    <row r="1060" spans="1:14">
      <c r="A1060" s="1">
        <f>HYPERLINK("https://lsnyc.legalserver.org/matter/dynamic-profile/view/1889975","19-1889975")</f>
        <v>0</v>
      </c>
      <c r="B1060" t="s">
        <v>18</v>
      </c>
      <c r="C1060" t="s">
        <v>27</v>
      </c>
      <c r="D1060" t="s">
        <v>918</v>
      </c>
      <c r="E1060" t="s">
        <v>2408</v>
      </c>
      <c r="F1060" t="s">
        <v>2437</v>
      </c>
      <c r="J1060" t="s">
        <v>2455</v>
      </c>
      <c r="K1060" t="s">
        <v>2572</v>
      </c>
      <c r="L1060" t="s">
        <v>2600</v>
      </c>
      <c r="M1060" t="s">
        <v>2619</v>
      </c>
    </row>
    <row r="1061" spans="1:14">
      <c r="A1061" s="1">
        <f>HYPERLINK("https://lsnyc.legalserver.org/matter/dynamic-profile/view/1889976","19-1889976")</f>
        <v>0</v>
      </c>
      <c r="B1061" t="s">
        <v>15</v>
      </c>
      <c r="C1061" t="s">
        <v>37</v>
      </c>
      <c r="D1061" t="s">
        <v>919</v>
      </c>
      <c r="E1061" t="s">
        <v>2376</v>
      </c>
      <c r="F1061" t="s">
        <v>2437</v>
      </c>
      <c r="I1061" t="s">
        <v>2446</v>
      </c>
      <c r="J1061" t="s">
        <v>2526</v>
      </c>
      <c r="L1061" t="s">
        <v>2600</v>
      </c>
      <c r="M1061" t="s">
        <v>2618</v>
      </c>
    </row>
    <row r="1062" spans="1:14">
      <c r="A1062" s="1">
        <f>HYPERLINK("https://lsnyc.legalserver.org/matter/dynamic-profile/view/1889988","19-1889988")</f>
        <v>0</v>
      </c>
      <c r="B1062" t="s">
        <v>14</v>
      </c>
      <c r="C1062" t="s">
        <v>20</v>
      </c>
      <c r="D1062" t="s">
        <v>920</v>
      </c>
      <c r="E1062" t="s">
        <v>2385</v>
      </c>
      <c r="F1062" t="s">
        <v>2438</v>
      </c>
      <c r="I1062" t="s">
        <v>2446</v>
      </c>
      <c r="J1062" t="s">
        <v>2457</v>
      </c>
      <c r="K1062" t="s">
        <v>2569</v>
      </c>
      <c r="M1062" t="s">
        <v>2616</v>
      </c>
      <c r="N1062" t="s">
        <v>2648</v>
      </c>
    </row>
    <row r="1063" spans="1:14">
      <c r="A1063" s="1">
        <f>HYPERLINK("https://lsnyc.legalserver.org/matter/dynamic-profile/view/1889990","19-1889990")</f>
        <v>0</v>
      </c>
      <c r="B1063" t="s">
        <v>19</v>
      </c>
      <c r="C1063" t="s">
        <v>38</v>
      </c>
      <c r="D1063" t="s">
        <v>921</v>
      </c>
      <c r="E1063" t="s">
        <v>2376</v>
      </c>
      <c r="F1063" t="s">
        <v>2437</v>
      </c>
      <c r="I1063" t="s">
        <v>2446</v>
      </c>
      <c r="J1063" t="s">
        <v>2448</v>
      </c>
      <c r="L1063" t="s">
        <v>2600</v>
      </c>
      <c r="M1063" t="s">
        <v>2618</v>
      </c>
      <c r="N1063" t="s">
        <v>2648</v>
      </c>
    </row>
    <row r="1064" spans="1:14">
      <c r="A1064" s="1">
        <f>HYPERLINK("https://lsnyc.legalserver.org/matter/dynamic-profile/view/1890000","19-1890000")</f>
        <v>0</v>
      </c>
      <c r="B1064" t="s">
        <v>14</v>
      </c>
      <c r="C1064" t="s">
        <v>20</v>
      </c>
      <c r="D1064" t="s">
        <v>922</v>
      </c>
      <c r="E1064" t="s">
        <v>2375</v>
      </c>
      <c r="F1064" t="s">
        <v>2437</v>
      </c>
      <c r="J1064" t="s">
        <v>2488</v>
      </c>
      <c r="K1064" t="s">
        <v>2569</v>
      </c>
      <c r="L1064" t="s">
        <v>2600</v>
      </c>
      <c r="M1064" t="s">
        <v>2617</v>
      </c>
    </row>
    <row r="1065" spans="1:14">
      <c r="A1065" s="1">
        <f>HYPERLINK("https://lsnyc.legalserver.org/matter/dynamic-profile/view/1890046","19-1890046")</f>
        <v>0</v>
      </c>
      <c r="B1065" t="s">
        <v>14</v>
      </c>
      <c r="C1065" t="s">
        <v>26</v>
      </c>
      <c r="D1065" t="s">
        <v>448</v>
      </c>
      <c r="E1065" t="s">
        <v>2391</v>
      </c>
      <c r="F1065" t="s">
        <v>2437</v>
      </c>
      <c r="I1065" t="s">
        <v>2446</v>
      </c>
      <c r="J1065" t="s">
        <v>2465</v>
      </c>
      <c r="K1065" t="s">
        <v>2569</v>
      </c>
      <c r="M1065" t="s">
        <v>2615</v>
      </c>
    </row>
    <row r="1066" spans="1:14">
      <c r="A1066" s="1">
        <f>HYPERLINK("https://lsnyc.legalserver.org/matter/dynamic-profile/view/1890058","19-1890058")</f>
        <v>0</v>
      </c>
      <c r="B1066" t="s">
        <v>19</v>
      </c>
      <c r="C1066" t="s">
        <v>54</v>
      </c>
      <c r="D1066" t="s">
        <v>517</v>
      </c>
      <c r="E1066" t="s">
        <v>2374</v>
      </c>
      <c r="F1066" t="s">
        <v>2438</v>
      </c>
      <c r="I1066" t="s">
        <v>2446</v>
      </c>
      <c r="J1066" t="s">
        <v>2450</v>
      </c>
      <c r="K1066" t="s">
        <v>2569</v>
      </c>
      <c r="L1066" t="s">
        <v>2600</v>
      </c>
      <c r="M1066" t="s">
        <v>2616</v>
      </c>
    </row>
    <row r="1067" spans="1:14">
      <c r="A1067" s="1">
        <f>HYPERLINK("https://lsnyc.legalserver.org/matter/dynamic-profile/view/1889747","19-1889747")</f>
        <v>0</v>
      </c>
      <c r="B1067" t="s">
        <v>16</v>
      </c>
      <c r="C1067" t="s">
        <v>23</v>
      </c>
      <c r="D1067" t="s">
        <v>923</v>
      </c>
      <c r="E1067" t="s">
        <v>2393</v>
      </c>
      <c r="F1067" t="s">
        <v>2437</v>
      </c>
      <c r="I1067" t="s">
        <v>2446</v>
      </c>
      <c r="J1067" t="s">
        <v>2485</v>
      </c>
      <c r="M1067" t="s">
        <v>2626</v>
      </c>
    </row>
    <row r="1068" spans="1:14">
      <c r="A1068" s="1">
        <f>HYPERLINK("https://lsnyc.legalserver.org/matter/dynamic-profile/view/1889757","19-1889757")</f>
        <v>0</v>
      </c>
      <c r="B1068" t="s">
        <v>15</v>
      </c>
      <c r="C1068" t="s">
        <v>55</v>
      </c>
      <c r="D1068" t="s">
        <v>924</v>
      </c>
      <c r="E1068" t="s">
        <v>2381</v>
      </c>
      <c r="F1068" t="s">
        <v>2437</v>
      </c>
      <c r="H1068" t="s">
        <v>2445</v>
      </c>
      <c r="J1068" t="s">
        <v>2467</v>
      </c>
      <c r="K1068" t="s">
        <v>2572</v>
      </c>
      <c r="L1068" t="s">
        <v>2600</v>
      </c>
      <c r="M1068" t="s">
        <v>2622</v>
      </c>
    </row>
    <row r="1069" spans="1:14">
      <c r="A1069" s="1">
        <f>HYPERLINK("https://lsnyc.legalserver.org/matter/dynamic-profile/view/1889864","19-1889864")</f>
        <v>0</v>
      </c>
      <c r="B1069" t="s">
        <v>19</v>
      </c>
      <c r="C1069" t="s">
        <v>50</v>
      </c>
      <c r="D1069" t="s">
        <v>925</v>
      </c>
      <c r="E1069" t="s">
        <v>2376</v>
      </c>
      <c r="F1069" t="s">
        <v>2437</v>
      </c>
      <c r="J1069" t="s">
        <v>2458</v>
      </c>
      <c r="K1069" t="s">
        <v>2569</v>
      </c>
      <c r="L1069" t="s">
        <v>2600</v>
      </c>
      <c r="M1069" t="s">
        <v>2618</v>
      </c>
      <c r="N1069" t="s">
        <v>2649</v>
      </c>
    </row>
    <row r="1070" spans="1:14">
      <c r="A1070" s="1">
        <f>HYPERLINK("https://lsnyc.legalserver.org/matter/dynamic-profile/view/1891200","19-1891200")</f>
        <v>0</v>
      </c>
      <c r="B1070" t="s">
        <v>17</v>
      </c>
      <c r="C1070" t="s">
        <v>28</v>
      </c>
      <c r="D1070" t="s">
        <v>98</v>
      </c>
      <c r="E1070" t="s">
        <v>2373</v>
      </c>
      <c r="F1070" t="s">
        <v>2441</v>
      </c>
      <c r="I1070" t="s">
        <v>2446</v>
      </c>
      <c r="J1070" t="s">
        <v>2449</v>
      </c>
      <c r="K1070" t="s">
        <v>2569</v>
      </c>
      <c r="L1070" t="s">
        <v>2600</v>
      </c>
      <c r="M1070" t="s">
        <v>2615</v>
      </c>
    </row>
    <row r="1071" spans="1:14">
      <c r="A1071" s="1">
        <f>HYPERLINK("https://lsnyc.legalserver.org/matter/dynamic-profile/view/1892513","19-1892513")</f>
        <v>0</v>
      </c>
      <c r="B1071" t="s">
        <v>15</v>
      </c>
      <c r="C1071" t="s">
        <v>32</v>
      </c>
      <c r="D1071" t="s">
        <v>926</v>
      </c>
      <c r="E1071" t="s">
        <v>2376</v>
      </c>
      <c r="F1071" t="s">
        <v>2437</v>
      </c>
      <c r="J1071" t="s">
        <v>2457</v>
      </c>
      <c r="K1071" t="s">
        <v>2569</v>
      </c>
      <c r="L1071" t="s">
        <v>2600</v>
      </c>
      <c r="M1071" t="s">
        <v>2618</v>
      </c>
      <c r="N1071" t="s">
        <v>2648</v>
      </c>
    </row>
    <row r="1072" spans="1:14">
      <c r="A1072" s="1">
        <f>HYPERLINK("https://lsnyc.legalserver.org/matter/dynamic-profile/view/1889740","19-1889740")</f>
        <v>0</v>
      </c>
      <c r="B1072" t="s">
        <v>19</v>
      </c>
      <c r="C1072" t="s">
        <v>47</v>
      </c>
      <c r="D1072" t="s">
        <v>927</v>
      </c>
      <c r="E1072" t="s">
        <v>2376</v>
      </c>
      <c r="F1072" t="s">
        <v>2437</v>
      </c>
      <c r="I1072" t="s">
        <v>2446</v>
      </c>
      <c r="J1072" t="s">
        <v>2456</v>
      </c>
      <c r="K1072" t="s">
        <v>2572</v>
      </c>
      <c r="L1072" t="s">
        <v>2600</v>
      </c>
      <c r="M1072" t="s">
        <v>2618</v>
      </c>
      <c r="N1072" t="s">
        <v>2648</v>
      </c>
    </row>
    <row r="1073" spans="1:13">
      <c r="A1073" s="1">
        <f>HYPERLINK("https://lsnyc.legalserver.org/matter/dynamic-profile/view/1889711","19-1889711")</f>
        <v>0</v>
      </c>
      <c r="B1073" t="s">
        <v>17</v>
      </c>
      <c r="C1073" t="s">
        <v>42</v>
      </c>
      <c r="D1073" t="s">
        <v>928</v>
      </c>
      <c r="E1073" t="s">
        <v>2383</v>
      </c>
      <c r="F1073" t="s">
        <v>2437</v>
      </c>
      <c r="I1073" t="s">
        <v>2446</v>
      </c>
      <c r="J1073" t="s">
        <v>2461</v>
      </c>
      <c r="K1073" t="s">
        <v>2572</v>
      </c>
      <c r="M1073" t="s">
        <v>2624</v>
      </c>
    </row>
    <row r="1074" spans="1:13">
      <c r="A1074" s="1">
        <f>HYPERLINK("https://lsnyc.legalserver.org/matter/dynamic-profile/view/1889739","19-1889739")</f>
        <v>0</v>
      </c>
      <c r="B1074" t="s">
        <v>19</v>
      </c>
      <c r="C1074" t="s">
        <v>47</v>
      </c>
      <c r="D1074" t="s">
        <v>927</v>
      </c>
      <c r="E1074" t="s">
        <v>2383</v>
      </c>
      <c r="F1074" t="s">
        <v>2437</v>
      </c>
      <c r="J1074" t="s">
        <v>2456</v>
      </c>
      <c r="K1074" t="s">
        <v>2572</v>
      </c>
      <c r="L1074" t="s">
        <v>2600</v>
      </c>
      <c r="M1074" t="s">
        <v>2624</v>
      </c>
    </row>
    <row r="1075" spans="1:13">
      <c r="A1075" s="1">
        <f>HYPERLINK("https://lsnyc.legalserver.org/matter/dynamic-profile/view/1889584","19-1889584")</f>
        <v>0</v>
      </c>
      <c r="B1075" t="s">
        <v>19</v>
      </c>
      <c r="C1075" t="s">
        <v>50</v>
      </c>
      <c r="D1075" t="s">
        <v>929</v>
      </c>
      <c r="F1075" t="s">
        <v>2439</v>
      </c>
      <c r="I1075" t="s">
        <v>2446</v>
      </c>
      <c r="J1075" t="s">
        <v>2453</v>
      </c>
      <c r="K1075" t="s">
        <v>2588</v>
      </c>
      <c r="L1075" t="s">
        <v>2601</v>
      </c>
      <c r="M1075" t="s">
        <v>2631</v>
      </c>
    </row>
    <row r="1076" spans="1:13">
      <c r="A1076" s="1">
        <f>HYPERLINK("https://lsnyc.legalserver.org/matter/dynamic-profile/view/1889523","19-1889523")</f>
        <v>0</v>
      </c>
      <c r="B1076" t="s">
        <v>18</v>
      </c>
      <c r="C1076" t="s">
        <v>35</v>
      </c>
      <c r="D1076" t="s">
        <v>930</v>
      </c>
      <c r="E1076" t="s">
        <v>2394</v>
      </c>
      <c r="F1076" t="s">
        <v>2440</v>
      </c>
      <c r="J1076" t="s">
        <v>2455</v>
      </c>
      <c r="K1076" t="s">
        <v>2569</v>
      </c>
      <c r="L1076" t="s">
        <v>2602</v>
      </c>
      <c r="M1076" t="s">
        <v>2627</v>
      </c>
    </row>
    <row r="1077" spans="1:13">
      <c r="A1077" s="1">
        <f>HYPERLINK("https://lsnyc.legalserver.org/matter/dynamic-profile/view/1889600","19-1889600")</f>
        <v>0</v>
      </c>
      <c r="B1077" t="s">
        <v>15</v>
      </c>
      <c r="C1077" t="s">
        <v>30</v>
      </c>
      <c r="D1077" t="s">
        <v>290</v>
      </c>
      <c r="E1077" t="s">
        <v>2385</v>
      </c>
      <c r="F1077" t="s">
        <v>2438</v>
      </c>
      <c r="J1077" t="s">
        <v>2457</v>
      </c>
      <c r="K1077" t="s">
        <v>2569</v>
      </c>
      <c r="M1077" t="s">
        <v>2626</v>
      </c>
    </row>
    <row r="1078" spans="1:13">
      <c r="A1078" s="1">
        <f>HYPERLINK("https://lsnyc.legalserver.org/matter/dynamic-profile/view/1890980","19-1890980")</f>
        <v>0</v>
      </c>
      <c r="B1078" t="s">
        <v>19</v>
      </c>
      <c r="C1078" t="s">
        <v>50</v>
      </c>
      <c r="D1078" t="s">
        <v>931</v>
      </c>
      <c r="F1078" t="s">
        <v>2437</v>
      </c>
      <c r="J1078" t="s">
        <v>2454</v>
      </c>
      <c r="K1078" t="s">
        <v>2572</v>
      </c>
      <c r="L1078" t="s">
        <v>2600</v>
      </c>
      <c r="M1078" t="s">
        <v>2614</v>
      </c>
    </row>
    <row r="1079" spans="1:13">
      <c r="A1079" s="1">
        <f>HYPERLINK("https://lsnyc.legalserver.org/matter/dynamic-profile/view/1889433","19-1889433")</f>
        <v>0</v>
      </c>
      <c r="B1079" t="s">
        <v>16</v>
      </c>
      <c r="C1079" t="s">
        <v>23</v>
      </c>
      <c r="D1079" t="s">
        <v>932</v>
      </c>
      <c r="E1079" t="s">
        <v>2393</v>
      </c>
      <c r="F1079" t="s">
        <v>2437</v>
      </c>
      <c r="I1079" t="s">
        <v>2446</v>
      </c>
      <c r="J1079" t="s">
        <v>2452</v>
      </c>
      <c r="M1079" t="s">
        <v>2637</v>
      </c>
    </row>
    <row r="1080" spans="1:13">
      <c r="A1080" s="1">
        <f>HYPERLINK("https://lsnyc.legalserver.org/matter/dynamic-profile/view/1889473","19-1889473")</f>
        <v>0</v>
      </c>
      <c r="B1080" t="s">
        <v>19</v>
      </c>
      <c r="C1080" t="s">
        <v>50</v>
      </c>
      <c r="D1080" t="s">
        <v>874</v>
      </c>
      <c r="E1080" t="s">
        <v>2374</v>
      </c>
      <c r="F1080" t="s">
        <v>2438</v>
      </c>
      <c r="I1080" t="s">
        <v>2446</v>
      </c>
      <c r="J1080" t="s">
        <v>2465</v>
      </c>
      <c r="K1080" t="s">
        <v>2569</v>
      </c>
      <c r="M1080" t="s">
        <v>2616</v>
      </c>
    </row>
    <row r="1081" spans="1:13">
      <c r="A1081" s="1">
        <f>HYPERLINK("https://lsnyc.legalserver.org/matter/dynamic-profile/view/1889475","19-1889475")</f>
        <v>0</v>
      </c>
      <c r="B1081" t="s">
        <v>19</v>
      </c>
      <c r="C1081" t="s">
        <v>50</v>
      </c>
      <c r="D1081" t="s">
        <v>876</v>
      </c>
      <c r="E1081" t="s">
        <v>2374</v>
      </c>
      <c r="F1081" t="s">
        <v>2438</v>
      </c>
      <c r="I1081" t="s">
        <v>2446</v>
      </c>
      <c r="J1081" t="s">
        <v>2465</v>
      </c>
      <c r="K1081" t="s">
        <v>2569</v>
      </c>
      <c r="M1081" t="s">
        <v>2616</v>
      </c>
    </row>
    <row r="1082" spans="1:13">
      <c r="A1082" s="1">
        <f>HYPERLINK("https://lsnyc.legalserver.org/matter/dynamic-profile/view/1889489","19-1889489")</f>
        <v>0</v>
      </c>
      <c r="B1082" t="s">
        <v>15</v>
      </c>
      <c r="C1082" t="s">
        <v>29</v>
      </c>
      <c r="D1082" t="s">
        <v>933</v>
      </c>
      <c r="E1082" t="s">
        <v>2403</v>
      </c>
      <c r="F1082" t="s">
        <v>2441</v>
      </c>
      <c r="G1082" t="s">
        <v>2444</v>
      </c>
      <c r="I1082" t="s">
        <v>2446</v>
      </c>
      <c r="J1082" t="s">
        <v>2465</v>
      </c>
      <c r="K1082" t="s">
        <v>2569</v>
      </c>
      <c r="M1082" t="s">
        <v>2639</v>
      </c>
    </row>
    <row r="1083" spans="1:13">
      <c r="A1083" s="1">
        <f>HYPERLINK("https://lsnyc.legalserver.org/matter/dynamic-profile/view/1889271","19-1889271")</f>
        <v>0</v>
      </c>
      <c r="B1083" t="s">
        <v>18</v>
      </c>
      <c r="C1083" t="s">
        <v>34</v>
      </c>
      <c r="D1083" t="s">
        <v>934</v>
      </c>
      <c r="E1083" t="s">
        <v>2382</v>
      </c>
      <c r="F1083" t="s">
        <v>2437</v>
      </c>
      <c r="I1083" t="s">
        <v>2446</v>
      </c>
      <c r="J1083" t="s">
        <v>2457</v>
      </c>
      <c r="K1083" t="s">
        <v>2569</v>
      </c>
      <c r="L1083" t="s">
        <v>2608</v>
      </c>
      <c r="M1083" t="s">
        <v>2623</v>
      </c>
    </row>
    <row r="1084" spans="1:13">
      <c r="A1084" s="1">
        <f>HYPERLINK("https://lsnyc.legalserver.org/matter/dynamic-profile/view/1889362","19-1889362")</f>
        <v>0</v>
      </c>
      <c r="B1084" t="s">
        <v>18</v>
      </c>
      <c r="C1084" t="s">
        <v>34</v>
      </c>
      <c r="D1084" t="s">
        <v>934</v>
      </c>
      <c r="E1084" t="s">
        <v>2376</v>
      </c>
      <c r="F1084" t="s">
        <v>2437</v>
      </c>
      <c r="I1084" t="s">
        <v>2446</v>
      </c>
      <c r="J1084" t="s">
        <v>2457</v>
      </c>
      <c r="K1084" t="s">
        <v>2569</v>
      </c>
      <c r="L1084" t="s">
        <v>2608</v>
      </c>
      <c r="M1084" t="s">
        <v>2618</v>
      </c>
    </row>
    <row r="1085" spans="1:13">
      <c r="A1085" s="1">
        <f>HYPERLINK("https://lsnyc.legalserver.org/matter/dynamic-profile/view/1889306","19-1889306")</f>
        <v>0</v>
      </c>
      <c r="B1085" t="s">
        <v>17</v>
      </c>
      <c r="C1085" t="s">
        <v>28</v>
      </c>
      <c r="D1085" t="s">
        <v>935</v>
      </c>
      <c r="E1085" t="s">
        <v>2375</v>
      </c>
      <c r="F1085" t="s">
        <v>2437</v>
      </c>
      <c r="I1085" t="s">
        <v>2446</v>
      </c>
      <c r="J1085" t="s">
        <v>2522</v>
      </c>
      <c r="K1085" t="s">
        <v>2578</v>
      </c>
      <c r="L1085" t="s">
        <v>2600</v>
      </c>
      <c r="M1085" t="s">
        <v>2617</v>
      </c>
    </row>
    <row r="1086" spans="1:13">
      <c r="A1086" s="1">
        <f>HYPERLINK("https://lsnyc.legalserver.org/matter/dynamic-profile/view/1889846","19-1889846")</f>
        <v>0</v>
      </c>
      <c r="B1086" t="s">
        <v>15</v>
      </c>
      <c r="C1086" t="s">
        <v>32</v>
      </c>
      <c r="D1086" t="s">
        <v>439</v>
      </c>
      <c r="E1086" t="s">
        <v>2376</v>
      </c>
      <c r="F1086" t="s">
        <v>2437</v>
      </c>
      <c r="J1086" t="s">
        <v>2450</v>
      </c>
      <c r="K1086" t="s">
        <v>2569</v>
      </c>
      <c r="M1086" t="s">
        <v>2618</v>
      </c>
    </row>
    <row r="1087" spans="1:13">
      <c r="A1087" s="1">
        <f>HYPERLINK("https://lsnyc.legalserver.org/matter/dynamic-profile/view/1890662","19-1890662")</f>
        <v>0</v>
      </c>
      <c r="B1087" t="s">
        <v>19</v>
      </c>
      <c r="C1087" t="s">
        <v>50</v>
      </c>
      <c r="D1087" t="s">
        <v>936</v>
      </c>
      <c r="E1087" t="s">
        <v>2385</v>
      </c>
      <c r="F1087" t="s">
        <v>2438</v>
      </c>
      <c r="I1087" t="s">
        <v>2446</v>
      </c>
      <c r="J1087" t="s">
        <v>2490</v>
      </c>
      <c r="K1087" t="s">
        <v>2572</v>
      </c>
      <c r="L1087" t="s">
        <v>2600</v>
      </c>
      <c r="M1087" t="s">
        <v>2626</v>
      </c>
    </row>
    <row r="1088" spans="1:13">
      <c r="A1088" s="1">
        <f>HYPERLINK("https://lsnyc.legalserver.org/matter/dynamic-profile/view/1889206","19-1889206")</f>
        <v>0</v>
      </c>
      <c r="B1088" t="s">
        <v>14</v>
      </c>
      <c r="C1088" t="s">
        <v>26</v>
      </c>
      <c r="D1088" t="s">
        <v>937</v>
      </c>
      <c r="E1088" t="s">
        <v>2376</v>
      </c>
      <c r="F1088" t="s">
        <v>2437</v>
      </c>
      <c r="I1088" t="s">
        <v>2446</v>
      </c>
      <c r="J1088" t="s">
        <v>2450</v>
      </c>
      <c r="K1088" t="s">
        <v>2569</v>
      </c>
      <c r="L1088" t="s">
        <v>2603</v>
      </c>
      <c r="M1088" t="s">
        <v>2618</v>
      </c>
    </row>
    <row r="1089" spans="1:14">
      <c r="A1089" s="1">
        <f>HYPERLINK("https://lsnyc.legalserver.org/matter/dynamic-profile/view/1886905","19-1886905")</f>
        <v>0</v>
      </c>
      <c r="B1089" t="s">
        <v>17</v>
      </c>
      <c r="C1089" t="s">
        <v>42</v>
      </c>
      <c r="D1089" t="s">
        <v>938</v>
      </c>
      <c r="E1089" t="s">
        <v>2385</v>
      </c>
      <c r="F1089" t="s">
        <v>2439</v>
      </c>
      <c r="I1089" t="s">
        <v>2446</v>
      </c>
      <c r="J1089" t="s">
        <v>2450</v>
      </c>
      <c r="K1089" t="s">
        <v>2569</v>
      </c>
      <c r="L1089" t="s">
        <v>2601</v>
      </c>
      <c r="M1089" t="s">
        <v>2631</v>
      </c>
    </row>
    <row r="1090" spans="1:14">
      <c r="A1090" s="1">
        <f>HYPERLINK("https://lsnyc.legalserver.org/matter/dynamic-profile/view/1889157","19-1889157")</f>
        <v>0</v>
      </c>
      <c r="B1090" t="s">
        <v>18</v>
      </c>
      <c r="C1090" t="s">
        <v>27</v>
      </c>
      <c r="D1090" t="s">
        <v>103</v>
      </c>
      <c r="E1090" t="s">
        <v>2394</v>
      </c>
      <c r="F1090" t="s">
        <v>2437</v>
      </c>
      <c r="I1090" t="s">
        <v>2446</v>
      </c>
      <c r="J1090" t="s">
        <v>2456</v>
      </c>
      <c r="K1090" t="s">
        <v>2572</v>
      </c>
      <c r="L1090" t="s">
        <v>2605</v>
      </c>
      <c r="M1090" t="s">
        <v>2627</v>
      </c>
      <c r="N1090" t="s">
        <v>2648</v>
      </c>
    </row>
    <row r="1091" spans="1:14">
      <c r="A1091" s="1">
        <f>HYPERLINK("https://lsnyc.legalserver.org/matter/dynamic-profile/view/1889176","19-1889176")</f>
        <v>0</v>
      </c>
      <c r="B1091" t="s">
        <v>19</v>
      </c>
      <c r="C1091" t="s">
        <v>54</v>
      </c>
      <c r="D1091" t="s">
        <v>939</v>
      </c>
      <c r="E1091" t="s">
        <v>2385</v>
      </c>
      <c r="F1091" t="s">
        <v>2437</v>
      </c>
      <c r="I1091" t="s">
        <v>2446</v>
      </c>
      <c r="J1091" t="s">
        <v>2450</v>
      </c>
      <c r="K1091" t="s">
        <v>2569</v>
      </c>
      <c r="L1091" t="s">
        <v>2602</v>
      </c>
      <c r="M1091" t="s">
        <v>2616</v>
      </c>
    </row>
    <row r="1092" spans="1:14">
      <c r="A1092" s="1">
        <f>HYPERLINK("https://lsnyc.legalserver.org/matter/dynamic-profile/view/1889202","19-1889202")</f>
        <v>0</v>
      </c>
      <c r="B1092" t="s">
        <v>14</v>
      </c>
      <c r="C1092" t="s">
        <v>26</v>
      </c>
      <c r="D1092" t="s">
        <v>940</v>
      </c>
      <c r="E1092" t="s">
        <v>2376</v>
      </c>
      <c r="F1092" t="s">
        <v>2437</v>
      </c>
      <c r="I1092" t="s">
        <v>2446</v>
      </c>
      <c r="J1092" t="s">
        <v>2450</v>
      </c>
      <c r="K1092" t="s">
        <v>2569</v>
      </c>
      <c r="M1092" t="s">
        <v>2618</v>
      </c>
    </row>
    <row r="1093" spans="1:14">
      <c r="A1093" s="1">
        <f>HYPERLINK("https://lsnyc.legalserver.org/matter/dynamic-profile/view/1889205","19-1889205")</f>
        <v>0</v>
      </c>
      <c r="B1093" t="s">
        <v>18</v>
      </c>
      <c r="C1093" t="s">
        <v>34</v>
      </c>
      <c r="D1093" t="s">
        <v>941</v>
      </c>
      <c r="E1093" t="s">
        <v>2390</v>
      </c>
      <c r="F1093" t="s">
        <v>2437</v>
      </c>
      <c r="I1093" t="s">
        <v>2446</v>
      </c>
      <c r="J1093" t="s">
        <v>2497</v>
      </c>
      <c r="K1093" t="s">
        <v>2585</v>
      </c>
      <c r="L1093" t="s">
        <v>2600</v>
      </c>
      <c r="M1093" t="s">
        <v>2619</v>
      </c>
    </row>
    <row r="1094" spans="1:14">
      <c r="A1094" s="1">
        <f>HYPERLINK("https://lsnyc.legalserver.org/matter/dynamic-profile/view/1889019","19-1889019")</f>
        <v>0</v>
      </c>
      <c r="B1094" t="s">
        <v>18</v>
      </c>
      <c r="C1094" t="s">
        <v>34</v>
      </c>
      <c r="D1094" t="s">
        <v>942</v>
      </c>
      <c r="E1094" t="s">
        <v>2421</v>
      </c>
      <c r="F1094" t="s">
        <v>2439</v>
      </c>
      <c r="I1094" t="s">
        <v>2446</v>
      </c>
      <c r="J1094" t="s">
        <v>2448</v>
      </c>
      <c r="K1094" t="s">
        <v>2569</v>
      </c>
      <c r="L1094" t="s">
        <v>2602</v>
      </c>
      <c r="M1094" t="s">
        <v>2631</v>
      </c>
    </row>
    <row r="1095" spans="1:14">
      <c r="A1095" s="1">
        <f>HYPERLINK("https://lsnyc.legalserver.org/matter/dynamic-profile/view/1889044","19-1889044")</f>
        <v>0</v>
      </c>
      <c r="B1095" t="s">
        <v>18</v>
      </c>
      <c r="C1095" t="s">
        <v>27</v>
      </c>
      <c r="D1095" t="s">
        <v>943</v>
      </c>
      <c r="E1095" t="s">
        <v>2387</v>
      </c>
      <c r="F1095" t="s">
        <v>2439</v>
      </c>
      <c r="I1095" t="s">
        <v>2446</v>
      </c>
      <c r="J1095" t="s">
        <v>2457</v>
      </c>
      <c r="K1095" t="s">
        <v>2572</v>
      </c>
      <c r="L1095" t="s">
        <v>2602</v>
      </c>
      <c r="M1095" t="s">
        <v>2641</v>
      </c>
    </row>
    <row r="1096" spans="1:14">
      <c r="A1096" s="1">
        <f>HYPERLINK("https://lsnyc.legalserver.org/matter/dynamic-profile/view/1889027","19-1889027")</f>
        <v>0</v>
      </c>
      <c r="B1096" t="s">
        <v>15</v>
      </c>
      <c r="C1096" t="s">
        <v>22</v>
      </c>
      <c r="D1096" t="s">
        <v>944</v>
      </c>
      <c r="E1096" t="s">
        <v>2370</v>
      </c>
      <c r="F1096" t="s">
        <v>2437</v>
      </c>
      <c r="J1096" t="s">
        <v>2455</v>
      </c>
      <c r="K1096" t="s">
        <v>2569</v>
      </c>
      <c r="M1096" t="s">
        <v>2638</v>
      </c>
    </row>
    <row r="1097" spans="1:14">
      <c r="A1097" s="1">
        <f>HYPERLINK("https://lsnyc.legalserver.org/matter/dynamic-profile/view/1889033","19-1889033")</f>
        <v>0</v>
      </c>
      <c r="B1097" t="s">
        <v>16</v>
      </c>
      <c r="C1097" t="s">
        <v>23</v>
      </c>
      <c r="D1097" t="s">
        <v>945</v>
      </c>
      <c r="E1097" t="s">
        <v>2374</v>
      </c>
      <c r="F1097" t="s">
        <v>2438</v>
      </c>
      <c r="I1097" t="s">
        <v>2446</v>
      </c>
      <c r="J1097" t="s">
        <v>2471</v>
      </c>
      <c r="K1097" t="s">
        <v>2571</v>
      </c>
      <c r="M1097" t="s">
        <v>2616</v>
      </c>
    </row>
    <row r="1098" spans="1:14">
      <c r="A1098" s="1">
        <f>HYPERLINK("https://lsnyc.legalserver.org/matter/dynamic-profile/view/1889110","19-1889110")</f>
        <v>0</v>
      </c>
      <c r="B1098" t="s">
        <v>15</v>
      </c>
      <c r="C1098" t="s">
        <v>32</v>
      </c>
      <c r="D1098" t="s">
        <v>946</v>
      </c>
      <c r="E1098" t="s">
        <v>2374</v>
      </c>
      <c r="F1098" t="s">
        <v>2438</v>
      </c>
      <c r="J1098" t="s">
        <v>2465</v>
      </c>
      <c r="K1098" t="s">
        <v>2569</v>
      </c>
      <c r="L1098" t="s">
        <v>2600</v>
      </c>
      <c r="M1098" t="s">
        <v>2616</v>
      </c>
      <c r="N1098" t="s">
        <v>2649</v>
      </c>
    </row>
    <row r="1099" spans="1:14">
      <c r="A1099" s="1">
        <f>HYPERLINK("https://lsnyc.legalserver.org/matter/dynamic-profile/view/1889114","19-1889114")</f>
        <v>0</v>
      </c>
      <c r="B1099" t="s">
        <v>15</v>
      </c>
      <c r="C1099" t="s">
        <v>32</v>
      </c>
      <c r="D1099" t="s">
        <v>947</v>
      </c>
      <c r="E1099" t="s">
        <v>2374</v>
      </c>
      <c r="F1099" t="s">
        <v>2438</v>
      </c>
      <c r="J1099" t="s">
        <v>2465</v>
      </c>
      <c r="K1099" t="s">
        <v>2569</v>
      </c>
      <c r="L1099" t="s">
        <v>2600</v>
      </c>
      <c r="M1099" t="s">
        <v>2616</v>
      </c>
      <c r="N1099" t="s">
        <v>2649</v>
      </c>
    </row>
    <row r="1100" spans="1:14">
      <c r="A1100" s="1">
        <f>HYPERLINK("https://lsnyc.legalserver.org/matter/dynamic-profile/view/1885328","18-1885328")</f>
        <v>0</v>
      </c>
      <c r="B1100" t="s">
        <v>17</v>
      </c>
      <c r="C1100" t="s">
        <v>25</v>
      </c>
      <c r="D1100" t="s">
        <v>148</v>
      </c>
      <c r="E1100" t="s">
        <v>2375</v>
      </c>
      <c r="F1100" t="s">
        <v>2437</v>
      </c>
      <c r="I1100" t="s">
        <v>2446</v>
      </c>
      <c r="J1100" t="s">
        <v>2457</v>
      </c>
      <c r="K1100" t="s">
        <v>2569</v>
      </c>
      <c r="M1100" t="s">
        <v>2617</v>
      </c>
    </row>
    <row r="1101" spans="1:14">
      <c r="A1101" s="1">
        <f>HYPERLINK("https://lsnyc.legalserver.org/matter/dynamic-profile/view/1888848","19-1888848")</f>
        <v>0</v>
      </c>
      <c r="B1101" t="s">
        <v>18</v>
      </c>
      <c r="C1101" t="s">
        <v>34</v>
      </c>
      <c r="D1101" t="s">
        <v>948</v>
      </c>
      <c r="E1101" t="s">
        <v>2385</v>
      </c>
      <c r="F1101" t="s">
        <v>2438</v>
      </c>
      <c r="J1101" t="s">
        <v>2465</v>
      </c>
      <c r="K1101" t="s">
        <v>2569</v>
      </c>
      <c r="L1101" t="s">
        <v>2600</v>
      </c>
      <c r="M1101" t="s">
        <v>2616</v>
      </c>
    </row>
    <row r="1102" spans="1:14">
      <c r="A1102" s="1">
        <f>HYPERLINK("https://lsnyc.legalserver.org/matter/dynamic-profile/view/1888861","19-1888861")</f>
        <v>0</v>
      </c>
      <c r="B1102" t="s">
        <v>18</v>
      </c>
      <c r="C1102" t="s">
        <v>34</v>
      </c>
      <c r="D1102" t="s">
        <v>949</v>
      </c>
      <c r="E1102" t="s">
        <v>2385</v>
      </c>
      <c r="F1102" t="s">
        <v>2438</v>
      </c>
      <c r="J1102" t="s">
        <v>2465</v>
      </c>
      <c r="K1102" t="s">
        <v>2569</v>
      </c>
      <c r="L1102" t="s">
        <v>2600</v>
      </c>
      <c r="M1102" t="s">
        <v>2616</v>
      </c>
    </row>
    <row r="1103" spans="1:14">
      <c r="A1103" s="1">
        <f>HYPERLINK("https://lsnyc.legalserver.org/matter/dynamic-profile/view/1888901","19-1888901")</f>
        <v>0</v>
      </c>
      <c r="B1103" t="s">
        <v>15</v>
      </c>
      <c r="C1103" t="s">
        <v>49</v>
      </c>
      <c r="D1103" t="s">
        <v>950</v>
      </c>
      <c r="G1103" t="s">
        <v>2444</v>
      </c>
      <c r="J1103" t="s">
        <v>2499</v>
      </c>
      <c r="K1103" t="s">
        <v>2593</v>
      </c>
      <c r="M1103" t="s">
        <v>2614</v>
      </c>
    </row>
    <row r="1104" spans="1:14">
      <c r="A1104" s="1">
        <f>HYPERLINK("https://lsnyc.legalserver.org/matter/dynamic-profile/view/1888921","19-1888921")</f>
        <v>0</v>
      </c>
      <c r="B1104" t="s">
        <v>14</v>
      </c>
      <c r="C1104" t="s">
        <v>33</v>
      </c>
      <c r="D1104" t="s">
        <v>951</v>
      </c>
      <c r="E1104" t="s">
        <v>2413</v>
      </c>
      <c r="F1104" t="s">
        <v>2437</v>
      </c>
      <c r="I1104" t="s">
        <v>2446</v>
      </c>
      <c r="J1104" t="s">
        <v>2450</v>
      </c>
      <c r="K1104" t="s">
        <v>2569</v>
      </c>
      <c r="L1104" t="s">
        <v>2600</v>
      </c>
      <c r="M1104" t="s">
        <v>2629</v>
      </c>
    </row>
    <row r="1105" spans="1:13">
      <c r="A1105" s="1">
        <f>HYPERLINK("https://lsnyc.legalserver.org/matter/dynamic-profile/view/1888926","19-1888926")</f>
        <v>0</v>
      </c>
      <c r="B1105" t="s">
        <v>14</v>
      </c>
      <c r="C1105" t="s">
        <v>33</v>
      </c>
      <c r="D1105" t="s">
        <v>952</v>
      </c>
      <c r="E1105" t="s">
        <v>2413</v>
      </c>
      <c r="F1105" t="s">
        <v>2437</v>
      </c>
      <c r="I1105" t="s">
        <v>2446</v>
      </c>
      <c r="J1105" t="s">
        <v>2450</v>
      </c>
      <c r="L1105" t="s">
        <v>2600</v>
      </c>
      <c r="M1105" t="s">
        <v>2629</v>
      </c>
    </row>
    <row r="1106" spans="1:13">
      <c r="A1106" s="1">
        <f>HYPERLINK("https://lsnyc.legalserver.org/matter/dynamic-profile/view/1888954","19-1888954")</f>
        <v>0</v>
      </c>
      <c r="B1106" t="s">
        <v>16</v>
      </c>
      <c r="C1106" t="s">
        <v>23</v>
      </c>
      <c r="D1106" t="s">
        <v>953</v>
      </c>
      <c r="E1106" t="s">
        <v>2406</v>
      </c>
      <c r="F1106" t="s">
        <v>2437</v>
      </c>
      <c r="I1106" t="s">
        <v>2446</v>
      </c>
      <c r="J1106" t="s">
        <v>2447</v>
      </c>
      <c r="K1106" t="s">
        <v>2569</v>
      </c>
      <c r="M1106" t="s">
        <v>2642</v>
      </c>
    </row>
    <row r="1107" spans="1:13">
      <c r="A1107" s="1">
        <f>HYPERLINK("https://lsnyc.legalserver.org/matter/dynamic-profile/view/1888959","19-1888959")</f>
        <v>0</v>
      </c>
      <c r="B1107" t="s">
        <v>16</v>
      </c>
      <c r="C1107" t="s">
        <v>23</v>
      </c>
      <c r="D1107" t="s">
        <v>954</v>
      </c>
      <c r="E1107" t="s">
        <v>2413</v>
      </c>
      <c r="F1107" t="s">
        <v>2437</v>
      </c>
      <c r="I1107" t="s">
        <v>2446</v>
      </c>
      <c r="J1107" t="s">
        <v>2447</v>
      </c>
      <c r="K1107" t="s">
        <v>2569</v>
      </c>
      <c r="M1107" t="s">
        <v>2629</v>
      </c>
    </row>
    <row r="1108" spans="1:13">
      <c r="A1108" s="1">
        <f>HYPERLINK("https://lsnyc.legalserver.org/matter/dynamic-profile/view/1888961","19-1888961")</f>
        <v>0</v>
      </c>
      <c r="B1108" t="s">
        <v>16</v>
      </c>
      <c r="C1108" t="s">
        <v>23</v>
      </c>
      <c r="D1108" t="s">
        <v>954</v>
      </c>
      <c r="E1108" t="s">
        <v>2406</v>
      </c>
      <c r="F1108" t="s">
        <v>2437</v>
      </c>
      <c r="I1108" t="s">
        <v>2446</v>
      </c>
      <c r="J1108" t="s">
        <v>2447</v>
      </c>
      <c r="K1108" t="s">
        <v>2569</v>
      </c>
      <c r="M1108" t="s">
        <v>2642</v>
      </c>
    </row>
    <row r="1109" spans="1:13">
      <c r="A1109" s="1">
        <f>HYPERLINK("https://lsnyc.legalserver.org/matter/dynamic-profile/view/1888963","19-1888963")</f>
        <v>0</v>
      </c>
      <c r="B1109" t="s">
        <v>16</v>
      </c>
      <c r="C1109" t="s">
        <v>23</v>
      </c>
      <c r="D1109" t="s">
        <v>953</v>
      </c>
      <c r="E1109" t="s">
        <v>2413</v>
      </c>
      <c r="F1109" t="s">
        <v>2437</v>
      </c>
      <c r="I1109" t="s">
        <v>2446</v>
      </c>
      <c r="J1109" t="s">
        <v>2447</v>
      </c>
      <c r="K1109" t="s">
        <v>2569</v>
      </c>
      <c r="M1109" t="s">
        <v>2629</v>
      </c>
    </row>
    <row r="1110" spans="1:13">
      <c r="A1110" s="1">
        <f>HYPERLINK("https://lsnyc.legalserver.org/matter/dynamic-profile/view/1888966","19-1888966")</f>
        <v>0</v>
      </c>
      <c r="B1110" t="s">
        <v>16</v>
      </c>
      <c r="C1110" t="s">
        <v>23</v>
      </c>
      <c r="D1110" t="s">
        <v>955</v>
      </c>
      <c r="E1110" t="s">
        <v>2406</v>
      </c>
      <c r="F1110" t="s">
        <v>2437</v>
      </c>
      <c r="I1110" t="s">
        <v>2446</v>
      </c>
      <c r="J1110" t="s">
        <v>2447</v>
      </c>
      <c r="K1110" t="s">
        <v>2569</v>
      </c>
      <c r="M1110" t="s">
        <v>2642</v>
      </c>
    </row>
    <row r="1111" spans="1:13">
      <c r="A1111" s="1">
        <f>HYPERLINK("https://lsnyc.legalserver.org/matter/dynamic-profile/view/1888988","19-1888988")</f>
        <v>0</v>
      </c>
      <c r="B1111" t="s">
        <v>19</v>
      </c>
      <c r="C1111" t="s">
        <v>54</v>
      </c>
      <c r="D1111" t="s">
        <v>956</v>
      </c>
      <c r="E1111" t="s">
        <v>2373</v>
      </c>
      <c r="F1111" t="s">
        <v>2441</v>
      </c>
      <c r="I1111" t="s">
        <v>2446</v>
      </c>
      <c r="J1111" t="s">
        <v>2504</v>
      </c>
      <c r="K1111" t="s">
        <v>2572</v>
      </c>
      <c r="L1111" t="s">
        <v>2600</v>
      </c>
      <c r="M1111" t="s">
        <v>2615</v>
      </c>
    </row>
    <row r="1112" spans="1:13">
      <c r="A1112" s="1">
        <f>HYPERLINK("https://lsnyc.legalserver.org/matter/dynamic-profile/view/1886997","19-1886997")</f>
        <v>0</v>
      </c>
      <c r="B1112" t="s">
        <v>17</v>
      </c>
      <c r="C1112" t="s">
        <v>42</v>
      </c>
      <c r="D1112" t="s">
        <v>957</v>
      </c>
      <c r="E1112" t="s">
        <v>2385</v>
      </c>
      <c r="F1112" t="s">
        <v>2439</v>
      </c>
      <c r="I1112" t="s">
        <v>2446</v>
      </c>
      <c r="J1112" t="s">
        <v>2465</v>
      </c>
      <c r="K1112" t="s">
        <v>2569</v>
      </c>
      <c r="L1112" t="s">
        <v>2601</v>
      </c>
      <c r="M1112" t="s">
        <v>2631</v>
      </c>
    </row>
    <row r="1113" spans="1:13">
      <c r="A1113" s="1">
        <f>HYPERLINK("https://lsnyc.legalserver.org/matter/dynamic-profile/view/1887995","19-1887995")</f>
        <v>0</v>
      </c>
      <c r="B1113" t="s">
        <v>17</v>
      </c>
      <c r="C1113" t="s">
        <v>42</v>
      </c>
      <c r="D1113" t="s">
        <v>958</v>
      </c>
      <c r="E1113" t="s">
        <v>2375</v>
      </c>
      <c r="F1113" t="s">
        <v>2439</v>
      </c>
      <c r="I1113" t="s">
        <v>2446</v>
      </c>
      <c r="J1113" t="s">
        <v>2454</v>
      </c>
      <c r="K1113" t="s">
        <v>2572</v>
      </c>
      <c r="L1113" t="s">
        <v>2601</v>
      </c>
      <c r="M1113" t="s">
        <v>2631</v>
      </c>
    </row>
    <row r="1114" spans="1:13">
      <c r="A1114" s="1">
        <f>HYPERLINK("https://lsnyc.legalserver.org/matter/dynamic-profile/view/1888836","19-1888836")</f>
        <v>0</v>
      </c>
      <c r="B1114" t="s">
        <v>18</v>
      </c>
      <c r="C1114" t="s">
        <v>27</v>
      </c>
      <c r="D1114" t="s">
        <v>959</v>
      </c>
      <c r="E1114" t="s">
        <v>2393</v>
      </c>
      <c r="F1114" t="s">
        <v>2437</v>
      </c>
      <c r="I1114" t="s">
        <v>2446</v>
      </c>
      <c r="J1114" t="s">
        <v>2452</v>
      </c>
      <c r="K1114" t="s">
        <v>2572</v>
      </c>
      <c r="L1114" t="s">
        <v>2603</v>
      </c>
      <c r="M1114" t="s">
        <v>2637</v>
      </c>
    </row>
    <row r="1115" spans="1:13">
      <c r="A1115" s="1">
        <f>HYPERLINK("https://lsnyc.legalserver.org/matter/dynamic-profile/view/1887947","19-1887947")</f>
        <v>0</v>
      </c>
      <c r="B1115" t="s">
        <v>17</v>
      </c>
      <c r="C1115" t="s">
        <v>25</v>
      </c>
      <c r="D1115" t="s">
        <v>696</v>
      </c>
      <c r="E1115" t="s">
        <v>2375</v>
      </c>
      <c r="F1115" t="s">
        <v>2437</v>
      </c>
      <c r="I1115" t="s">
        <v>2446</v>
      </c>
      <c r="J1115" t="s">
        <v>2450</v>
      </c>
      <c r="K1115" t="s">
        <v>2569</v>
      </c>
      <c r="L1115" t="s">
        <v>2601</v>
      </c>
      <c r="M1115" t="s">
        <v>2631</v>
      </c>
    </row>
    <row r="1116" spans="1:13">
      <c r="A1116" s="1">
        <f>HYPERLINK("https://lsnyc.legalserver.org/matter/dynamic-profile/view/1888781","19-1888781")</f>
        <v>0</v>
      </c>
      <c r="B1116" t="s">
        <v>15</v>
      </c>
      <c r="C1116" t="s">
        <v>31</v>
      </c>
      <c r="D1116" t="s">
        <v>960</v>
      </c>
      <c r="E1116" t="s">
        <v>2381</v>
      </c>
      <c r="F1116" t="s">
        <v>2437</v>
      </c>
      <c r="I1116" t="s">
        <v>2446</v>
      </c>
      <c r="J1116" t="s">
        <v>2467</v>
      </c>
      <c r="K1116" t="s">
        <v>2572</v>
      </c>
      <c r="L1116" t="s">
        <v>2605</v>
      </c>
      <c r="M1116" t="s">
        <v>2626</v>
      </c>
    </row>
    <row r="1117" spans="1:13">
      <c r="A1117" s="1">
        <f>HYPERLINK("https://lsnyc.legalserver.org/matter/dynamic-profile/view/1886896","19-1886896")</f>
        <v>0</v>
      </c>
      <c r="B1117" t="s">
        <v>17</v>
      </c>
      <c r="C1117" t="s">
        <v>28</v>
      </c>
      <c r="D1117" t="s">
        <v>961</v>
      </c>
      <c r="E1117" t="s">
        <v>2387</v>
      </c>
      <c r="F1117" t="s">
        <v>2437</v>
      </c>
      <c r="J1117" t="s">
        <v>2457</v>
      </c>
      <c r="K1117" t="s">
        <v>2572</v>
      </c>
      <c r="M1117" t="s">
        <v>2629</v>
      </c>
    </row>
    <row r="1118" spans="1:13">
      <c r="A1118" s="1">
        <f>HYPERLINK("https://lsnyc.legalserver.org/matter/dynamic-profile/view/1888747","19-1888747")</f>
        <v>0</v>
      </c>
      <c r="B1118" t="s">
        <v>16</v>
      </c>
      <c r="C1118" t="s">
        <v>46</v>
      </c>
      <c r="D1118" t="s">
        <v>962</v>
      </c>
      <c r="E1118" t="s">
        <v>2375</v>
      </c>
      <c r="F1118" t="s">
        <v>2437</v>
      </c>
      <c r="I1118" t="s">
        <v>2446</v>
      </c>
      <c r="J1118" t="s">
        <v>2467</v>
      </c>
      <c r="K1118" t="s">
        <v>2572</v>
      </c>
      <c r="M1118" t="s">
        <v>2617</v>
      </c>
    </row>
    <row r="1119" spans="1:13">
      <c r="A1119" s="1">
        <f>HYPERLINK("https://lsnyc.legalserver.org/matter/dynamic-profile/view/1888533","19-1888533")</f>
        <v>0</v>
      </c>
      <c r="B1119" t="s">
        <v>14</v>
      </c>
      <c r="C1119" t="s">
        <v>33</v>
      </c>
      <c r="D1119" t="s">
        <v>963</v>
      </c>
      <c r="E1119" t="s">
        <v>2405</v>
      </c>
      <c r="F1119" t="s">
        <v>2437</v>
      </c>
      <c r="I1119" t="s">
        <v>2446</v>
      </c>
      <c r="J1119" t="s">
        <v>2465</v>
      </c>
      <c r="K1119" t="s">
        <v>2579</v>
      </c>
      <c r="L1119" t="s">
        <v>2602</v>
      </c>
      <c r="M1119" t="s">
        <v>2613</v>
      </c>
    </row>
    <row r="1120" spans="1:13">
      <c r="A1120" s="1">
        <f>HYPERLINK("https://lsnyc.legalserver.org/matter/dynamic-profile/view/1888622","19-1888622")</f>
        <v>0</v>
      </c>
      <c r="B1120" t="s">
        <v>18</v>
      </c>
      <c r="C1120" t="s">
        <v>34</v>
      </c>
      <c r="D1120" t="s">
        <v>964</v>
      </c>
      <c r="E1120" t="s">
        <v>2385</v>
      </c>
      <c r="F1120" t="s">
        <v>2438</v>
      </c>
      <c r="J1120" t="s">
        <v>2449</v>
      </c>
      <c r="K1120" t="s">
        <v>2569</v>
      </c>
      <c r="L1120" t="s">
        <v>2603</v>
      </c>
      <c r="M1120" t="s">
        <v>2616</v>
      </c>
    </row>
    <row r="1121" spans="1:14">
      <c r="A1121" s="1">
        <f>HYPERLINK("https://lsnyc.legalserver.org/matter/dynamic-profile/view/1888632","19-1888632")</f>
        <v>0</v>
      </c>
      <c r="B1121" t="s">
        <v>18</v>
      </c>
      <c r="C1121" t="s">
        <v>34</v>
      </c>
      <c r="D1121" t="s">
        <v>965</v>
      </c>
      <c r="E1121" t="s">
        <v>2374</v>
      </c>
      <c r="F1121" t="s">
        <v>2438</v>
      </c>
      <c r="I1121" t="s">
        <v>2446</v>
      </c>
      <c r="J1121" t="s">
        <v>2448</v>
      </c>
      <c r="K1121" t="s">
        <v>2569</v>
      </c>
      <c r="M1121" t="s">
        <v>2616</v>
      </c>
    </row>
    <row r="1122" spans="1:14">
      <c r="A1122" s="1">
        <f>HYPERLINK("https://lsnyc.legalserver.org/matter/dynamic-profile/view/1888697","19-1888697")</f>
        <v>0</v>
      </c>
      <c r="B1122" t="s">
        <v>15</v>
      </c>
      <c r="C1122" t="s">
        <v>30</v>
      </c>
      <c r="D1122" t="s">
        <v>966</v>
      </c>
      <c r="E1122" t="s">
        <v>2391</v>
      </c>
      <c r="F1122" t="s">
        <v>2437</v>
      </c>
      <c r="J1122" t="s">
        <v>2450</v>
      </c>
      <c r="K1122" t="s">
        <v>2569</v>
      </c>
      <c r="M1122" t="s">
        <v>2615</v>
      </c>
    </row>
    <row r="1123" spans="1:14">
      <c r="A1123" s="1">
        <f>HYPERLINK("https://lsnyc.legalserver.org/matter/dynamic-profile/view/1888437","19-1888437")</f>
        <v>0</v>
      </c>
      <c r="B1123" t="s">
        <v>15</v>
      </c>
      <c r="C1123" t="s">
        <v>30</v>
      </c>
      <c r="D1123" t="s">
        <v>967</v>
      </c>
      <c r="E1123" t="s">
        <v>2370</v>
      </c>
      <c r="F1123" t="s">
        <v>2439</v>
      </c>
      <c r="I1123" t="s">
        <v>2446</v>
      </c>
      <c r="J1123" t="s">
        <v>2455</v>
      </c>
      <c r="K1123" t="s">
        <v>2569</v>
      </c>
      <c r="L1123" t="s">
        <v>2601</v>
      </c>
      <c r="M1123" t="s">
        <v>2631</v>
      </c>
    </row>
    <row r="1124" spans="1:14">
      <c r="A1124" s="1">
        <f>HYPERLINK("https://lsnyc.legalserver.org/matter/dynamic-profile/view/1885327","18-1885327")</f>
        <v>0</v>
      </c>
      <c r="B1124" t="s">
        <v>17</v>
      </c>
      <c r="C1124" t="s">
        <v>25</v>
      </c>
      <c r="D1124" t="s">
        <v>968</v>
      </c>
      <c r="E1124" t="s">
        <v>2375</v>
      </c>
      <c r="F1124" t="s">
        <v>2437</v>
      </c>
      <c r="I1124" t="s">
        <v>2446</v>
      </c>
      <c r="J1124" t="s">
        <v>2454</v>
      </c>
      <c r="K1124" t="s">
        <v>2572</v>
      </c>
      <c r="L1124" t="s">
        <v>2604</v>
      </c>
      <c r="M1124" t="s">
        <v>2617</v>
      </c>
    </row>
    <row r="1125" spans="1:14">
      <c r="A1125" s="1">
        <f>HYPERLINK("https://lsnyc.legalserver.org/matter/dynamic-profile/view/1888453","19-1888453")</f>
        <v>0</v>
      </c>
      <c r="B1125" t="s">
        <v>15</v>
      </c>
      <c r="C1125" t="s">
        <v>31</v>
      </c>
      <c r="D1125" t="s">
        <v>969</v>
      </c>
      <c r="E1125" t="s">
        <v>2375</v>
      </c>
      <c r="F1125" t="s">
        <v>2439</v>
      </c>
      <c r="I1125" t="s">
        <v>2446</v>
      </c>
      <c r="J1125" t="s">
        <v>2448</v>
      </c>
      <c r="K1125" t="s">
        <v>2569</v>
      </c>
      <c r="L1125" t="s">
        <v>2601</v>
      </c>
      <c r="M1125" t="s">
        <v>2631</v>
      </c>
    </row>
    <row r="1126" spans="1:14">
      <c r="A1126" s="1">
        <f>HYPERLINK("https://lsnyc.legalserver.org/matter/dynamic-profile/view/1888458","19-1888458")</f>
        <v>0</v>
      </c>
      <c r="B1126" t="s">
        <v>15</v>
      </c>
      <c r="C1126" t="s">
        <v>31</v>
      </c>
      <c r="D1126" t="s">
        <v>970</v>
      </c>
      <c r="E1126" t="s">
        <v>2375</v>
      </c>
      <c r="F1126" t="s">
        <v>2439</v>
      </c>
      <c r="I1126" t="s">
        <v>2446</v>
      </c>
      <c r="J1126" t="s">
        <v>2497</v>
      </c>
      <c r="K1126" t="s">
        <v>2585</v>
      </c>
      <c r="L1126" t="s">
        <v>2601</v>
      </c>
      <c r="M1126" t="s">
        <v>2631</v>
      </c>
    </row>
    <row r="1127" spans="1:14">
      <c r="A1127" s="1">
        <f>HYPERLINK("https://lsnyc.legalserver.org/matter/dynamic-profile/view/1888444","19-1888444")</f>
        <v>0</v>
      </c>
      <c r="B1127" t="s">
        <v>19</v>
      </c>
      <c r="C1127" t="s">
        <v>47</v>
      </c>
      <c r="D1127" t="s">
        <v>971</v>
      </c>
      <c r="E1127" t="s">
        <v>2374</v>
      </c>
      <c r="F1127" t="s">
        <v>2438</v>
      </c>
      <c r="I1127" t="s">
        <v>2446</v>
      </c>
      <c r="J1127" t="s">
        <v>2450</v>
      </c>
      <c r="K1127" t="s">
        <v>2569</v>
      </c>
      <c r="L1127" t="s">
        <v>2600</v>
      </c>
      <c r="M1127" t="s">
        <v>2616</v>
      </c>
    </row>
    <row r="1128" spans="1:14">
      <c r="A1128" s="1">
        <f>HYPERLINK("https://lsnyc.legalserver.org/matter/dynamic-profile/view/1888504","19-1888504")</f>
        <v>0</v>
      </c>
      <c r="B1128" t="s">
        <v>17</v>
      </c>
      <c r="C1128" t="s">
        <v>36</v>
      </c>
      <c r="D1128" t="s">
        <v>972</v>
      </c>
      <c r="E1128" t="s">
        <v>2375</v>
      </c>
      <c r="F1128" t="s">
        <v>2437</v>
      </c>
      <c r="I1128" t="s">
        <v>2446</v>
      </c>
      <c r="J1128" t="s">
        <v>2449</v>
      </c>
      <c r="L1128" t="s">
        <v>2600</v>
      </c>
      <c r="M1128" t="s">
        <v>2617</v>
      </c>
    </row>
    <row r="1129" spans="1:14">
      <c r="A1129" s="1">
        <f>HYPERLINK("https://lsnyc.legalserver.org/matter/dynamic-profile/view/1887060","19-1887060")</f>
        <v>0</v>
      </c>
      <c r="B1129" t="s">
        <v>19</v>
      </c>
      <c r="C1129" t="s">
        <v>62</v>
      </c>
      <c r="D1129" t="s">
        <v>973</v>
      </c>
      <c r="E1129" t="s">
        <v>2374</v>
      </c>
      <c r="F1129" t="s">
        <v>2439</v>
      </c>
      <c r="I1129" t="s">
        <v>2446</v>
      </c>
      <c r="J1129" t="s">
        <v>2509</v>
      </c>
      <c r="K1129" t="s">
        <v>2571</v>
      </c>
      <c r="L1129" t="s">
        <v>2601</v>
      </c>
      <c r="M1129" t="s">
        <v>2631</v>
      </c>
    </row>
    <row r="1130" spans="1:14">
      <c r="A1130" s="1">
        <f>HYPERLINK("https://lsnyc.legalserver.org/matter/dynamic-profile/view/1888398","19-1888398")</f>
        <v>0</v>
      </c>
      <c r="B1130" t="s">
        <v>15</v>
      </c>
      <c r="C1130" t="s">
        <v>30</v>
      </c>
      <c r="D1130" t="s">
        <v>974</v>
      </c>
      <c r="E1130" t="s">
        <v>2383</v>
      </c>
      <c r="F1130" t="s">
        <v>2439</v>
      </c>
      <c r="I1130" t="s">
        <v>2446</v>
      </c>
      <c r="J1130" t="s">
        <v>2527</v>
      </c>
      <c r="K1130" t="s">
        <v>2569</v>
      </c>
      <c r="L1130" t="s">
        <v>2601</v>
      </c>
      <c r="M1130" t="s">
        <v>2631</v>
      </c>
    </row>
    <row r="1131" spans="1:14">
      <c r="A1131" s="1">
        <f>HYPERLINK("https://lsnyc.legalserver.org/matter/dynamic-profile/view/1888322","19-1888322")</f>
        <v>0</v>
      </c>
      <c r="B1131" t="s">
        <v>18</v>
      </c>
      <c r="C1131" t="s">
        <v>27</v>
      </c>
      <c r="D1131" t="s">
        <v>975</v>
      </c>
      <c r="E1131" t="s">
        <v>2387</v>
      </c>
      <c r="F1131" t="s">
        <v>2440</v>
      </c>
      <c r="I1131" t="s">
        <v>2446</v>
      </c>
      <c r="J1131" t="s">
        <v>2448</v>
      </c>
      <c r="K1131" t="s">
        <v>2569</v>
      </c>
      <c r="L1131" t="s">
        <v>2602</v>
      </c>
      <c r="M1131" t="s">
        <v>2641</v>
      </c>
    </row>
    <row r="1132" spans="1:14">
      <c r="A1132" s="1">
        <f>HYPERLINK("https://lsnyc.legalserver.org/matter/dynamic-profile/view/1888287","19-1888287")</f>
        <v>0</v>
      </c>
      <c r="B1132" t="s">
        <v>14</v>
      </c>
      <c r="C1132" t="s">
        <v>26</v>
      </c>
      <c r="D1132" t="s">
        <v>976</v>
      </c>
      <c r="E1132" t="s">
        <v>2403</v>
      </c>
      <c r="F1132" t="s">
        <v>2441</v>
      </c>
      <c r="J1132" t="s">
        <v>2450</v>
      </c>
      <c r="K1132" t="s">
        <v>2569</v>
      </c>
      <c r="L1132" t="s">
        <v>2601</v>
      </c>
      <c r="M1132" t="s">
        <v>2631</v>
      </c>
    </row>
    <row r="1133" spans="1:14">
      <c r="A1133" s="1">
        <f>HYPERLINK("https://lsnyc.legalserver.org/matter/dynamic-profile/view/1888508","19-1888508")</f>
        <v>0</v>
      </c>
      <c r="B1133" t="s">
        <v>17</v>
      </c>
      <c r="C1133" t="s">
        <v>42</v>
      </c>
      <c r="D1133" t="s">
        <v>977</v>
      </c>
      <c r="E1133" t="s">
        <v>2374</v>
      </c>
      <c r="F1133" t="s">
        <v>2442</v>
      </c>
      <c r="I1133" t="s">
        <v>2446</v>
      </c>
      <c r="J1133" t="s">
        <v>2457</v>
      </c>
      <c r="K1133" t="s">
        <v>2569</v>
      </c>
      <c r="L1133" t="s">
        <v>2604</v>
      </c>
      <c r="M1133" t="s">
        <v>2616</v>
      </c>
    </row>
    <row r="1134" spans="1:14">
      <c r="A1134" s="1">
        <f>HYPERLINK("https://lsnyc.legalserver.org/matter/dynamic-profile/view/1888510","19-1888510")</f>
        <v>0</v>
      </c>
      <c r="B1134" t="s">
        <v>17</v>
      </c>
      <c r="C1134" t="s">
        <v>42</v>
      </c>
      <c r="D1134" t="s">
        <v>978</v>
      </c>
      <c r="E1134" t="s">
        <v>2374</v>
      </c>
      <c r="F1134" t="s">
        <v>2442</v>
      </c>
      <c r="I1134" t="s">
        <v>2446</v>
      </c>
      <c r="J1134" t="s">
        <v>2457</v>
      </c>
      <c r="K1134" t="s">
        <v>2569</v>
      </c>
      <c r="L1134" t="s">
        <v>2604</v>
      </c>
      <c r="M1134" t="s">
        <v>2616</v>
      </c>
    </row>
    <row r="1135" spans="1:14">
      <c r="A1135" s="1">
        <f>HYPERLINK("https://lsnyc.legalserver.org/matter/dynamic-profile/view/1888387","19-1888387")</f>
        <v>0</v>
      </c>
      <c r="B1135" t="s">
        <v>18</v>
      </c>
      <c r="C1135" t="s">
        <v>27</v>
      </c>
      <c r="D1135" t="s">
        <v>124</v>
      </c>
      <c r="E1135" t="s">
        <v>2394</v>
      </c>
      <c r="F1135" t="s">
        <v>2437</v>
      </c>
      <c r="I1135" t="s">
        <v>2446</v>
      </c>
      <c r="J1135" t="s">
        <v>2457</v>
      </c>
      <c r="K1135" t="s">
        <v>2569</v>
      </c>
      <c r="L1135" t="s">
        <v>2605</v>
      </c>
      <c r="M1135" t="s">
        <v>2626</v>
      </c>
      <c r="N1135" t="s">
        <v>2648</v>
      </c>
    </row>
    <row r="1136" spans="1:14">
      <c r="A1136" s="1">
        <f>HYPERLINK("https://lsnyc.legalserver.org/matter/dynamic-profile/view/1888276","19-1888276")</f>
        <v>0</v>
      </c>
      <c r="B1136" t="s">
        <v>18</v>
      </c>
      <c r="C1136" t="s">
        <v>34</v>
      </c>
      <c r="D1136" t="s">
        <v>616</v>
      </c>
      <c r="E1136" t="s">
        <v>2385</v>
      </c>
      <c r="F1136" t="s">
        <v>2438</v>
      </c>
      <c r="J1136" t="s">
        <v>2450</v>
      </c>
      <c r="K1136" t="s">
        <v>2569</v>
      </c>
      <c r="M1136" t="s">
        <v>2616</v>
      </c>
    </row>
    <row r="1137" spans="1:14">
      <c r="A1137" s="1">
        <f>HYPERLINK("https://lsnyc.legalserver.org/matter/dynamic-profile/view/1888283","19-1888283")</f>
        <v>0</v>
      </c>
      <c r="B1137" t="s">
        <v>18</v>
      </c>
      <c r="C1137" t="s">
        <v>34</v>
      </c>
      <c r="D1137" t="s">
        <v>656</v>
      </c>
      <c r="E1137" t="s">
        <v>2385</v>
      </c>
      <c r="F1137" t="s">
        <v>2438</v>
      </c>
      <c r="J1137" t="s">
        <v>2450</v>
      </c>
      <c r="K1137" t="s">
        <v>2569</v>
      </c>
      <c r="M1137" t="s">
        <v>2616</v>
      </c>
      <c r="N1137" t="s">
        <v>2649</v>
      </c>
    </row>
    <row r="1138" spans="1:14">
      <c r="A1138" s="1">
        <f>HYPERLINK("https://lsnyc.legalserver.org/matter/dynamic-profile/view/1888295","19-1888295")</f>
        <v>0</v>
      </c>
      <c r="B1138" t="s">
        <v>17</v>
      </c>
      <c r="C1138" t="s">
        <v>25</v>
      </c>
      <c r="D1138" t="s">
        <v>137</v>
      </c>
      <c r="E1138" t="s">
        <v>2375</v>
      </c>
      <c r="F1138" t="s">
        <v>2437</v>
      </c>
      <c r="I1138" t="s">
        <v>2446</v>
      </c>
      <c r="J1138" t="s">
        <v>2483</v>
      </c>
      <c r="K1138" t="s">
        <v>2571</v>
      </c>
      <c r="M1138" t="s">
        <v>2617</v>
      </c>
    </row>
    <row r="1139" spans="1:14">
      <c r="A1139" s="1">
        <f>HYPERLINK("https://lsnyc.legalserver.org/matter/dynamic-profile/view/1888344","19-1888344")</f>
        <v>0</v>
      </c>
      <c r="B1139" t="s">
        <v>19</v>
      </c>
      <c r="C1139" t="s">
        <v>38</v>
      </c>
      <c r="D1139" t="s">
        <v>979</v>
      </c>
      <c r="E1139" t="s">
        <v>2394</v>
      </c>
      <c r="F1139" t="s">
        <v>2437</v>
      </c>
      <c r="J1139" t="s">
        <v>2528</v>
      </c>
      <c r="K1139" t="s">
        <v>2572</v>
      </c>
      <c r="L1139" t="s">
        <v>2600</v>
      </c>
      <c r="M1139" t="s">
        <v>2627</v>
      </c>
      <c r="N1139" t="s">
        <v>2648</v>
      </c>
    </row>
    <row r="1140" spans="1:14">
      <c r="A1140" s="1">
        <f>HYPERLINK("https://lsnyc.legalserver.org/matter/dynamic-profile/view/1888352","19-1888352")</f>
        <v>0</v>
      </c>
      <c r="B1140" t="s">
        <v>19</v>
      </c>
      <c r="C1140" t="s">
        <v>38</v>
      </c>
      <c r="D1140" t="s">
        <v>979</v>
      </c>
      <c r="E1140" t="s">
        <v>2383</v>
      </c>
      <c r="F1140" t="s">
        <v>2437</v>
      </c>
      <c r="I1140" t="s">
        <v>2446</v>
      </c>
      <c r="J1140" t="s">
        <v>2528</v>
      </c>
      <c r="K1140" t="s">
        <v>2572</v>
      </c>
      <c r="L1140" t="s">
        <v>2600</v>
      </c>
      <c r="M1140" t="s">
        <v>2624</v>
      </c>
      <c r="N1140" t="s">
        <v>2648</v>
      </c>
    </row>
    <row r="1141" spans="1:14">
      <c r="A1141" s="1">
        <f>HYPERLINK("https://lsnyc.legalserver.org/matter/dynamic-profile/view/1888354","19-1888354")</f>
        <v>0</v>
      </c>
      <c r="B1141" t="s">
        <v>19</v>
      </c>
      <c r="C1141" t="s">
        <v>38</v>
      </c>
      <c r="D1141" t="s">
        <v>979</v>
      </c>
      <c r="E1141" t="s">
        <v>2376</v>
      </c>
      <c r="F1141" t="s">
        <v>2437</v>
      </c>
      <c r="I1141" t="s">
        <v>2446</v>
      </c>
      <c r="J1141" t="s">
        <v>2528</v>
      </c>
      <c r="K1141" t="s">
        <v>2572</v>
      </c>
      <c r="L1141" t="s">
        <v>2600</v>
      </c>
      <c r="M1141" t="s">
        <v>2618</v>
      </c>
      <c r="N1141" t="s">
        <v>2648</v>
      </c>
    </row>
    <row r="1142" spans="1:14">
      <c r="A1142" s="1">
        <f>HYPERLINK("https://lsnyc.legalserver.org/matter/dynamic-profile/view/1888356","19-1888356")</f>
        <v>0</v>
      </c>
      <c r="B1142" t="s">
        <v>15</v>
      </c>
      <c r="C1142" t="s">
        <v>37</v>
      </c>
      <c r="D1142" t="s">
        <v>919</v>
      </c>
      <c r="E1142" t="s">
        <v>2383</v>
      </c>
      <c r="F1142" t="s">
        <v>2437</v>
      </c>
      <c r="I1142" t="s">
        <v>2446</v>
      </c>
      <c r="J1142" t="s">
        <v>2526</v>
      </c>
      <c r="L1142" t="s">
        <v>2600</v>
      </c>
      <c r="M1142" t="s">
        <v>2624</v>
      </c>
    </row>
    <row r="1143" spans="1:14">
      <c r="A1143" s="1">
        <f>HYPERLINK("https://lsnyc.legalserver.org/matter/dynamic-profile/view/1888392","19-1888392")</f>
        <v>0</v>
      </c>
      <c r="B1143" t="s">
        <v>15</v>
      </c>
      <c r="C1143" t="s">
        <v>30</v>
      </c>
      <c r="D1143" t="s">
        <v>485</v>
      </c>
      <c r="E1143" t="s">
        <v>2370</v>
      </c>
      <c r="F1143" t="s">
        <v>2437</v>
      </c>
      <c r="J1143" t="s">
        <v>2448</v>
      </c>
      <c r="K1143" t="s">
        <v>2572</v>
      </c>
      <c r="L1143" t="s">
        <v>2600</v>
      </c>
      <c r="M1143" t="s">
        <v>2638</v>
      </c>
    </row>
    <row r="1144" spans="1:14">
      <c r="A1144" s="1">
        <f>HYPERLINK("https://lsnyc.legalserver.org/matter/dynamic-profile/view/1888494","19-1888494")</f>
        <v>0</v>
      </c>
      <c r="B1144" t="s">
        <v>17</v>
      </c>
      <c r="C1144" t="s">
        <v>42</v>
      </c>
      <c r="D1144" t="s">
        <v>980</v>
      </c>
      <c r="E1144" t="s">
        <v>2374</v>
      </c>
      <c r="F1144" t="s">
        <v>2438</v>
      </c>
      <c r="I1144" t="s">
        <v>2446</v>
      </c>
      <c r="J1144" t="s">
        <v>2450</v>
      </c>
      <c r="K1144" t="s">
        <v>2569</v>
      </c>
      <c r="M1144" t="s">
        <v>2616</v>
      </c>
    </row>
    <row r="1145" spans="1:14">
      <c r="A1145" s="1">
        <f>HYPERLINK("https://lsnyc.legalserver.org/matter/dynamic-profile/view/1888498","19-1888498")</f>
        <v>0</v>
      </c>
      <c r="B1145" t="s">
        <v>17</v>
      </c>
      <c r="C1145" t="s">
        <v>42</v>
      </c>
      <c r="D1145" t="s">
        <v>980</v>
      </c>
      <c r="E1145" t="s">
        <v>2373</v>
      </c>
      <c r="F1145" t="s">
        <v>2441</v>
      </c>
      <c r="I1145" t="s">
        <v>2446</v>
      </c>
      <c r="J1145" t="s">
        <v>2450</v>
      </c>
      <c r="K1145" t="s">
        <v>2569</v>
      </c>
      <c r="M1145" t="s">
        <v>2615</v>
      </c>
    </row>
    <row r="1146" spans="1:14">
      <c r="A1146" s="1">
        <f>HYPERLINK("https://lsnyc.legalserver.org/matter/dynamic-profile/view/1888500","19-1888500")</f>
        <v>0</v>
      </c>
      <c r="B1146" t="s">
        <v>17</v>
      </c>
      <c r="C1146" t="s">
        <v>42</v>
      </c>
      <c r="D1146" t="s">
        <v>981</v>
      </c>
      <c r="E1146" t="s">
        <v>2374</v>
      </c>
      <c r="F1146" t="s">
        <v>2438</v>
      </c>
      <c r="I1146" t="s">
        <v>2446</v>
      </c>
      <c r="J1146" t="s">
        <v>2450</v>
      </c>
      <c r="K1146" t="s">
        <v>2569</v>
      </c>
      <c r="M1146" t="s">
        <v>2616</v>
      </c>
    </row>
    <row r="1147" spans="1:14">
      <c r="A1147" s="1">
        <f>HYPERLINK("https://lsnyc.legalserver.org/matter/dynamic-profile/view/1888501","19-1888501")</f>
        <v>0</v>
      </c>
      <c r="B1147" t="s">
        <v>17</v>
      </c>
      <c r="C1147" t="s">
        <v>36</v>
      </c>
      <c r="D1147" t="s">
        <v>982</v>
      </c>
      <c r="E1147" t="s">
        <v>2375</v>
      </c>
      <c r="F1147" t="s">
        <v>2437</v>
      </c>
      <c r="I1147" t="s">
        <v>2446</v>
      </c>
      <c r="J1147" t="s">
        <v>2449</v>
      </c>
      <c r="K1147" t="s">
        <v>2569</v>
      </c>
      <c r="L1147" t="s">
        <v>2600</v>
      </c>
      <c r="M1147" t="s">
        <v>2617</v>
      </c>
    </row>
    <row r="1148" spans="1:14">
      <c r="A1148" s="1">
        <f>HYPERLINK("https://lsnyc.legalserver.org/matter/dynamic-profile/view/1888505","19-1888505")</f>
        <v>0</v>
      </c>
      <c r="B1148" t="s">
        <v>17</v>
      </c>
      <c r="C1148" t="s">
        <v>36</v>
      </c>
      <c r="D1148" t="s">
        <v>983</v>
      </c>
      <c r="E1148" t="s">
        <v>2375</v>
      </c>
      <c r="F1148" t="s">
        <v>2437</v>
      </c>
      <c r="I1148" t="s">
        <v>2446</v>
      </c>
      <c r="J1148" t="s">
        <v>2449</v>
      </c>
      <c r="M1148" t="s">
        <v>2617</v>
      </c>
    </row>
    <row r="1149" spans="1:14">
      <c r="A1149" s="1">
        <f>HYPERLINK("https://lsnyc.legalserver.org/matter/dynamic-profile/view/1888529","19-1888529")</f>
        <v>0</v>
      </c>
      <c r="B1149" t="s">
        <v>15</v>
      </c>
      <c r="C1149" t="s">
        <v>32</v>
      </c>
      <c r="D1149" t="s">
        <v>984</v>
      </c>
      <c r="E1149" t="s">
        <v>2391</v>
      </c>
      <c r="F1149" t="s">
        <v>2437</v>
      </c>
      <c r="J1149" t="s">
        <v>2465</v>
      </c>
      <c r="K1149" t="s">
        <v>2569</v>
      </c>
      <c r="L1149" t="s">
        <v>2600</v>
      </c>
      <c r="M1149" t="s">
        <v>2615</v>
      </c>
    </row>
    <row r="1150" spans="1:14">
      <c r="A1150" s="1">
        <f>HYPERLINK("https://lsnyc.legalserver.org/matter/dynamic-profile/view/1888154","19-1888154")</f>
        <v>0</v>
      </c>
      <c r="B1150" t="s">
        <v>14</v>
      </c>
      <c r="C1150" t="s">
        <v>26</v>
      </c>
      <c r="D1150" t="s">
        <v>985</v>
      </c>
      <c r="E1150" t="s">
        <v>2373</v>
      </c>
      <c r="F1150" t="s">
        <v>2441</v>
      </c>
      <c r="I1150" t="s">
        <v>2446</v>
      </c>
      <c r="J1150" t="s">
        <v>2465</v>
      </c>
      <c r="K1150" t="s">
        <v>2569</v>
      </c>
      <c r="L1150" t="s">
        <v>2603</v>
      </c>
      <c r="M1150" t="s">
        <v>2615</v>
      </c>
    </row>
    <row r="1151" spans="1:14">
      <c r="A1151" s="1">
        <f>HYPERLINK("https://lsnyc.legalserver.org/matter/dynamic-profile/view/1888254","19-1888254")</f>
        <v>0</v>
      </c>
      <c r="B1151" t="s">
        <v>18</v>
      </c>
      <c r="C1151" t="s">
        <v>27</v>
      </c>
      <c r="D1151" t="s">
        <v>986</v>
      </c>
      <c r="E1151" t="s">
        <v>2394</v>
      </c>
      <c r="F1151" t="s">
        <v>2439</v>
      </c>
      <c r="I1151" t="s">
        <v>2446</v>
      </c>
      <c r="J1151" t="s">
        <v>2456</v>
      </c>
      <c r="K1151" t="s">
        <v>2572</v>
      </c>
      <c r="L1151" t="s">
        <v>2602</v>
      </c>
      <c r="M1151" t="s">
        <v>2631</v>
      </c>
    </row>
    <row r="1152" spans="1:14">
      <c r="A1152" s="1">
        <f>HYPERLINK("https://lsnyc.legalserver.org/matter/dynamic-profile/view/1888172","19-1888172")</f>
        <v>0</v>
      </c>
      <c r="B1152" t="s">
        <v>19</v>
      </c>
      <c r="C1152" t="s">
        <v>65</v>
      </c>
      <c r="D1152" t="s">
        <v>987</v>
      </c>
      <c r="E1152" t="s">
        <v>2375</v>
      </c>
      <c r="F1152" t="s">
        <v>2437</v>
      </c>
      <c r="I1152" t="s">
        <v>2446</v>
      </c>
      <c r="J1152" t="s">
        <v>2479</v>
      </c>
      <c r="K1152" t="s">
        <v>2569</v>
      </c>
      <c r="L1152" t="s">
        <v>2603</v>
      </c>
      <c r="M1152" t="s">
        <v>2617</v>
      </c>
    </row>
    <row r="1153" spans="1:14">
      <c r="A1153" s="1">
        <f>HYPERLINK("https://lsnyc.legalserver.org/matter/dynamic-profile/view/1888151","19-1888151")</f>
        <v>0</v>
      </c>
      <c r="B1153" t="s">
        <v>14</v>
      </c>
      <c r="C1153" t="s">
        <v>26</v>
      </c>
      <c r="D1153" t="s">
        <v>985</v>
      </c>
      <c r="E1153" t="s">
        <v>2374</v>
      </c>
      <c r="F1153" t="s">
        <v>2438</v>
      </c>
      <c r="I1153" t="s">
        <v>2446</v>
      </c>
      <c r="J1153" t="s">
        <v>2465</v>
      </c>
      <c r="K1153" t="s">
        <v>2569</v>
      </c>
      <c r="M1153" t="s">
        <v>2616</v>
      </c>
    </row>
    <row r="1154" spans="1:14">
      <c r="A1154" s="1">
        <f>HYPERLINK("https://lsnyc.legalserver.org/matter/dynamic-profile/view/1888162","19-1888162")</f>
        <v>0</v>
      </c>
      <c r="B1154" t="s">
        <v>18</v>
      </c>
      <c r="C1154" t="s">
        <v>34</v>
      </c>
      <c r="D1154" t="s">
        <v>988</v>
      </c>
      <c r="E1154" t="s">
        <v>2375</v>
      </c>
      <c r="F1154" t="s">
        <v>2437</v>
      </c>
      <c r="I1154" t="s">
        <v>2446</v>
      </c>
      <c r="J1154" t="s">
        <v>2487</v>
      </c>
      <c r="K1154" t="s">
        <v>2582</v>
      </c>
      <c r="L1154" t="s">
        <v>2600</v>
      </c>
      <c r="M1154" t="s">
        <v>2617</v>
      </c>
    </row>
    <row r="1155" spans="1:14">
      <c r="A1155" s="1">
        <f>HYPERLINK("https://lsnyc.legalserver.org/matter/dynamic-profile/view/1888175","19-1888175")</f>
        <v>0</v>
      </c>
      <c r="B1155" t="s">
        <v>18</v>
      </c>
      <c r="C1155" t="s">
        <v>34</v>
      </c>
      <c r="D1155" t="s">
        <v>989</v>
      </c>
      <c r="E1155" t="s">
        <v>2374</v>
      </c>
      <c r="F1155" t="s">
        <v>2438</v>
      </c>
      <c r="J1155" t="s">
        <v>2449</v>
      </c>
      <c r="K1155" t="s">
        <v>2569</v>
      </c>
      <c r="M1155" t="s">
        <v>2616</v>
      </c>
    </row>
    <row r="1156" spans="1:14">
      <c r="A1156" s="1">
        <f>HYPERLINK("https://lsnyc.legalserver.org/matter/dynamic-profile/view/1888187","19-1888187")</f>
        <v>0</v>
      </c>
      <c r="B1156" t="s">
        <v>18</v>
      </c>
      <c r="C1156" t="s">
        <v>34</v>
      </c>
      <c r="D1156" t="s">
        <v>989</v>
      </c>
      <c r="E1156" t="s">
        <v>2422</v>
      </c>
      <c r="F1156" t="s">
        <v>2441</v>
      </c>
      <c r="J1156" t="s">
        <v>2449</v>
      </c>
      <c r="K1156" t="s">
        <v>2569</v>
      </c>
      <c r="L1156" t="s">
        <v>2603</v>
      </c>
      <c r="M1156" t="s">
        <v>2614</v>
      </c>
    </row>
    <row r="1157" spans="1:14">
      <c r="A1157" s="1">
        <f>HYPERLINK("https://lsnyc.legalserver.org/matter/dynamic-profile/view/1888193","19-1888193")</f>
        <v>0</v>
      </c>
      <c r="B1157" t="s">
        <v>16</v>
      </c>
      <c r="C1157" t="s">
        <v>23</v>
      </c>
      <c r="D1157" t="s">
        <v>465</v>
      </c>
      <c r="E1157" t="s">
        <v>2385</v>
      </c>
      <c r="F1157" t="s">
        <v>2438</v>
      </c>
      <c r="I1157" t="s">
        <v>2446</v>
      </c>
      <c r="J1157" t="s">
        <v>2450</v>
      </c>
      <c r="K1157" t="s">
        <v>2569</v>
      </c>
      <c r="M1157" t="s">
        <v>2616</v>
      </c>
    </row>
    <row r="1158" spans="1:14">
      <c r="A1158" s="1">
        <f>HYPERLINK("https://lsnyc.legalserver.org/matter/dynamic-profile/view/1888226","19-1888226")</f>
        <v>0</v>
      </c>
      <c r="B1158" t="s">
        <v>18</v>
      </c>
      <c r="C1158" t="s">
        <v>34</v>
      </c>
      <c r="D1158" t="s">
        <v>990</v>
      </c>
      <c r="E1158" t="s">
        <v>2385</v>
      </c>
      <c r="F1158" t="s">
        <v>2438</v>
      </c>
      <c r="J1158" t="s">
        <v>2449</v>
      </c>
      <c r="K1158" t="s">
        <v>2569</v>
      </c>
      <c r="L1158" t="s">
        <v>2603</v>
      </c>
      <c r="M1158" t="s">
        <v>2616</v>
      </c>
    </row>
    <row r="1159" spans="1:14">
      <c r="A1159" s="1">
        <f>HYPERLINK("https://lsnyc.legalserver.org/matter/dynamic-profile/view/1888257","19-1888257")</f>
        <v>0</v>
      </c>
      <c r="B1159" t="s">
        <v>18</v>
      </c>
      <c r="C1159" t="s">
        <v>45</v>
      </c>
      <c r="D1159" t="s">
        <v>991</v>
      </c>
      <c r="E1159" t="s">
        <v>2411</v>
      </c>
      <c r="F1159" t="s">
        <v>2439</v>
      </c>
      <c r="I1159" t="s">
        <v>2446</v>
      </c>
      <c r="J1159" t="s">
        <v>2453</v>
      </c>
      <c r="K1159" t="s">
        <v>2572</v>
      </c>
      <c r="M1159" t="s">
        <v>2631</v>
      </c>
    </row>
    <row r="1160" spans="1:14">
      <c r="A1160" s="1">
        <f>HYPERLINK("https://lsnyc.legalserver.org/matter/dynamic-profile/view/1888012","19-1888012")</f>
        <v>0</v>
      </c>
      <c r="B1160" t="s">
        <v>19</v>
      </c>
      <c r="C1160" t="s">
        <v>66</v>
      </c>
      <c r="D1160" t="s">
        <v>992</v>
      </c>
      <c r="E1160" t="s">
        <v>2417</v>
      </c>
      <c r="F1160" t="s">
        <v>2437</v>
      </c>
      <c r="I1160" t="s">
        <v>2446</v>
      </c>
      <c r="J1160" t="s">
        <v>2447</v>
      </c>
      <c r="K1160" t="s">
        <v>2569</v>
      </c>
      <c r="L1160" t="s">
        <v>2603</v>
      </c>
      <c r="M1160" t="s">
        <v>2645</v>
      </c>
    </row>
    <row r="1161" spans="1:14">
      <c r="A1161" s="1">
        <f>HYPERLINK("https://lsnyc.legalserver.org/matter/dynamic-profile/view/1888118","19-1888118")</f>
        <v>0</v>
      </c>
      <c r="B1161" t="s">
        <v>16</v>
      </c>
      <c r="C1161" t="s">
        <v>24</v>
      </c>
      <c r="D1161" t="s">
        <v>993</v>
      </c>
      <c r="E1161" t="s">
        <v>2390</v>
      </c>
      <c r="F1161" t="s">
        <v>2439</v>
      </c>
      <c r="I1161" t="s">
        <v>2446</v>
      </c>
      <c r="J1161" t="s">
        <v>2448</v>
      </c>
      <c r="K1161" t="s">
        <v>2569</v>
      </c>
      <c r="L1161" t="s">
        <v>2601</v>
      </c>
      <c r="M1161" t="s">
        <v>2631</v>
      </c>
    </row>
    <row r="1162" spans="1:14">
      <c r="A1162" s="1">
        <f>HYPERLINK("https://lsnyc.legalserver.org/matter/dynamic-profile/view/1885191","18-1885191")</f>
        <v>0</v>
      </c>
      <c r="B1162" t="s">
        <v>17</v>
      </c>
      <c r="C1162" t="s">
        <v>28</v>
      </c>
      <c r="D1162" t="s">
        <v>994</v>
      </c>
      <c r="E1162" t="s">
        <v>2375</v>
      </c>
      <c r="F1162" t="s">
        <v>2437</v>
      </c>
      <c r="I1162" t="s">
        <v>2446</v>
      </c>
      <c r="J1162" t="s">
        <v>2522</v>
      </c>
      <c r="K1162" t="s">
        <v>2578</v>
      </c>
      <c r="L1162" t="s">
        <v>2600</v>
      </c>
      <c r="M1162" t="s">
        <v>2617</v>
      </c>
    </row>
    <row r="1163" spans="1:14">
      <c r="A1163" s="1">
        <f>HYPERLINK("https://lsnyc.legalserver.org/matter/dynamic-profile/view/1888089","19-1888089")</f>
        <v>0</v>
      </c>
      <c r="B1163" t="s">
        <v>15</v>
      </c>
      <c r="C1163" t="s">
        <v>31</v>
      </c>
      <c r="D1163" t="s">
        <v>828</v>
      </c>
      <c r="E1163" t="s">
        <v>2371</v>
      </c>
      <c r="F1163" t="s">
        <v>2437</v>
      </c>
      <c r="I1163" t="s">
        <v>2446</v>
      </c>
      <c r="J1163" t="s">
        <v>2521</v>
      </c>
      <c r="K1163" t="s">
        <v>2572</v>
      </c>
      <c r="L1163" t="s">
        <v>2600</v>
      </c>
      <c r="M1163" t="s">
        <v>2626</v>
      </c>
    </row>
    <row r="1164" spans="1:14">
      <c r="A1164" s="1">
        <f>HYPERLINK("https://lsnyc.legalserver.org/matter/dynamic-profile/view/1888143","19-1888143")</f>
        <v>0</v>
      </c>
      <c r="B1164" t="s">
        <v>17</v>
      </c>
      <c r="C1164" t="s">
        <v>36</v>
      </c>
      <c r="D1164" t="s">
        <v>995</v>
      </c>
      <c r="E1164" t="s">
        <v>2391</v>
      </c>
      <c r="F1164" t="s">
        <v>2437</v>
      </c>
      <c r="I1164" t="s">
        <v>2446</v>
      </c>
      <c r="J1164" t="s">
        <v>2465</v>
      </c>
      <c r="K1164" t="s">
        <v>2569</v>
      </c>
      <c r="M1164" t="s">
        <v>2615</v>
      </c>
    </row>
    <row r="1165" spans="1:14">
      <c r="A1165" s="1">
        <f>HYPERLINK("https://lsnyc.legalserver.org/matter/dynamic-profile/view/1888415","19-1888415")</f>
        <v>0</v>
      </c>
      <c r="B1165" t="s">
        <v>19</v>
      </c>
      <c r="C1165" t="s">
        <v>38</v>
      </c>
      <c r="D1165" t="s">
        <v>795</v>
      </c>
      <c r="E1165" t="s">
        <v>2383</v>
      </c>
      <c r="F1165" t="s">
        <v>2437</v>
      </c>
      <c r="I1165" t="s">
        <v>2446</v>
      </c>
      <c r="J1165" t="s">
        <v>2516</v>
      </c>
      <c r="L1165" t="s">
        <v>2605</v>
      </c>
      <c r="M1165" t="s">
        <v>2624</v>
      </c>
      <c r="N1165" t="s">
        <v>2648</v>
      </c>
    </row>
    <row r="1166" spans="1:14">
      <c r="A1166" s="1">
        <f>HYPERLINK("https://lsnyc.legalserver.org/matter/dynamic-profile/view/1887881","19-1887881")</f>
        <v>0</v>
      </c>
      <c r="B1166" t="s">
        <v>16</v>
      </c>
      <c r="C1166" t="s">
        <v>46</v>
      </c>
      <c r="D1166" t="s">
        <v>996</v>
      </c>
      <c r="E1166" t="s">
        <v>2390</v>
      </c>
      <c r="F1166" t="s">
        <v>2437</v>
      </c>
      <c r="I1166" t="s">
        <v>2446</v>
      </c>
      <c r="J1166" t="s">
        <v>2448</v>
      </c>
      <c r="K1166" t="s">
        <v>2569</v>
      </c>
      <c r="L1166" t="s">
        <v>2600</v>
      </c>
      <c r="M1166" t="s">
        <v>2619</v>
      </c>
    </row>
    <row r="1167" spans="1:14">
      <c r="A1167" s="1">
        <f>HYPERLINK("https://lsnyc.legalserver.org/matter/dynamic-profile/view/1887996","19-1887996")</f>
        <v>0</v>
      </c>
      <c r="B1167" t="s">
        <v>18</v>
      </c>
      <c r="C1167" t="s">
        <v>35</v>
      </c>
      <c r="D1167" t="s">
        <v>997</v>
      </c>
      <c r="E1167" t="s">
        <v>2397</v>
      </c>
      <c r="F1167" t="s">
        <v>2438</v>
      </c>
      <c r="I1167" t="s">
        <v>2446</v>
      </c>
      <c r="J1167" t="s">
        <v>2452</v>
      </c>
      <c r="K1167" t="s">
        <v>2572</v>
      </c>
      <c r="M1167" t="s">
        <v>2616</v>
      </c>
    </row>
    <row r="1168" spans="1:14">
      <c r="A1168" s="1">
        <f>HYPERLINK("https://lsnyc.legalserver.org/matter/dynamic-profile/view/1880523","18-1880523")</f>
        <v>0</v>
      </c>
      <c r="B1168" t="s">
        <v>15</v>
      </c>
      <c r="C1168" t="s">
        <v>32</v>
      </c>
      <c r="D1168" t="s">
        <v>290</v>
      </c>
      <c r="E1168" t="s">
        <v>2423</v>
      </c>
      <c r="F1168" t="s">
        <v>2440</v>
      </c>
      <c r="I1168" t="s">
        <v>2446</v>
      </c>
      <c r="J1168" t="s">
        <v>2457</v>
      </c>
      <c r="K1168" t="s">
        <v>2569</v>
      </c>
      <c r="L1168" t="s">
        <v>2602</v>
      </c>
      <c r="M1168" t="s">
        <v>2631</v>
      </c>
    </row>
    <row r="1169" spans="1:14">
      <c r="A1169" s="1">
        <f>HYPERLINK("https://lsnyc.legalserver.org/matter/dynamic-profile/view/1887772","19-1887772")</f>
        <v>0</v>
      </c>
      <c r="B1169" t="s">
        <v>16</v>
      </c>
      <c r="C1169" t="s">
        <v>23</v>
      </c>
      <c r="D1169" t="s">
        <v>491</v>
      </c>
      <c r="E1169" t="s">
        <v>2390</v>
      </c>
      <c r="F1169" t="s">
        <v>2437</v>
      </c>
      <c r="I1169" t="s">
        <v>2446</v>
      </c>
      <c r="J1169" t="s">
        <v>2457</v>
      </c>
      <c r="K1169" t="s">
        <v>2569</v>
      </c>
      <c r="M1169" t="s">
        <v>2619</v>
      </c>
    </row>
    <row r="1170" spans="1:14">
      <c r="A1170" s="1">
        <f>HYPERLINK("https://lsnyc.legalserver.org/matter/dynamic-profile/view/1887807","19-1887807")</f>
        <v>0</v>
      </c>
      <c r="B1170" t="s">
        <v>16</v>
      </c>
      <c r="C1170" t="s">
        <v>46</v>
      </c>
      <c r="D1170" t="s">
        <v>998</v>
      </c>
      <c r="E1170" t="s">
        <v>2375</v>
      </c>
      <c r="F1170" t="s">
        <v>2437</v>
      </c>
      <c r="J1170" t="s">
        <v>2452</v>
      </c>
      <c r="K1170" t="s">
        <v>2572</v>
      </c>
      <c r="L1170" t="s">
        <v>2600</v>
      </c>
      <c r="M1170" t="s">
        <v>2617</v>
      </c>
    </row>
    <row r="1171" spans="1:14">
      <c r="A1171" s="1">
        <f>HYPERLINK("https://lsnyc.legalserver.org/matter/dynamic-profile/view/1887816","19-1887816")</f>
        <v>0</v>
      </c>
      <c r="B1171" t="s">
        <v>14</v>
      </c>
      <c r="C1171" t="s">
        <v>26</v>
      </c>
      <c r="D1171" t="s">
        <v>127</v>
      </c>
      <c r="E1171" t="s">
        <v>2385</v>
      </c>
      <c r="F1171" t="s">
        <v>2438</v>
      </c>
      <c r="I1171" t="s">
        <v>2446</v>
      </c>
      <c r="J1171" t="s">
        <v>2450</v>
      </c>
      <c r="K1171" t="s">
        <v>2569</v>
      </c>
      <c r="M1171" t="s">
        <v>2616</v>
      </c>
    </row>
    <row r="1172" spans="1:14">
      <c r="A1172" s="1">
        <f>HYPERLINK("https://lsnyc.legalserver.org/matter/dynamic-profile/view/1887821","19-1887821")</f>
        <v>0</v>
      </c>
      <c r="B1172" t="s">
        <v>14</v>
      </c>
      <c r="C1172" t="s">
        <v>26</v>
      </c>
      <c r="D1172" t="s">
        <v>127</v>
      </c>
      <c r="E1172" t="s">
        <v>2391</v>
      </c>
      <c r="F1172" t="s">
        <v>2437</v>
      </c>
      <c r="I1172" t="s">
        <v>2446</v>
      </c>
      <c r="J1172" t="s">
        <v>2450</v>
      </c>
      <c r="K1172" t="s">
        <v>2569</v>
      </c>
      <c r="M1172" t="s">
        <v>2615</v>
      </c>
    </row>
    <row r="1173" spans="1:14">
      <c r="A1173" s="1">
        <f>HYPERLINK("https://lsnyc.legalserver.org/matter/dynamic-profile/view/1888095","19-1888095")</f>
        <v>0</v>
      </c>
      <c r="B1173" t="s">
        <v>15</v>
      </c>
      <c r="C1173" t="s">
        <v>30</v>
      </c>
      <c r="D1173" t="s">
        <v>999</v>
      </c>
      <c r="E1173" t="s">
        <v>2374</v>
      </c>
      <c r="F1173" t="s">
        <v>2437</v>
      </c>
      <c r="I1173" t="s">
        <v>2446</v>
      </c>
      <c r="J1173" t="s">
        <v>2465</v>
      </c>
      <c r="K1173" t="s">
        <v>2569</v>
      </c>
      <c r="M1173" t="s">
        <v>2616</v>
      </c>
    </row>
    <row r="1174" spans="1:14">
      <c r="A1174" s="1">
        <f>HYPERLINK("https://lsnyc.legalserver.org/matter/dynamic-profile/view/1888101","19-1888101")</f>
        <v>0</v>
      </c>
      <c r="B1174" t="s">
        <v>15</v>
      </c>
      <c r="C1174" t="s">
        <v>30</v>
      </c>
      <c r="D1174" t="s">
        <v>999</v>
      </c>
      <c r="E1174" t="s">
        <v>2391</v>
      </c>
      <c r="F1174" t="s">
        <v>2437</v>
      </c>
      <c r="I1174" t="s">
        <v>2446</v>
      </c>
      <c r="J1174" t="s">
        <v>2465</v>
      </c>
      <c r="K1174" t="s">
        <v>2569</v>
      </c>
      <c r="M1174" t="s">
        <v>2615</v>
      </c>
    </row>
    <row r="1175" spans="1:14">
      <c r="A1175" s="1">
        <f>HYPERLINK("https://lsnyc.legalserver.org/matter/dynamic-profile/view/1888126","19-1888126")</f>
        <v>0</v>
      </c>
      <c r="B1175" t="s">
        <v>15</v>
      </c>
      <c r="C1175" t="s">
        <v>39</v>
      </c>
      <c r="D1175" t="s">
        <v>432</v>
      </c>
      <c r="E1175" t="s">
        <v>2374</v>
      </c>
      <c r="F1175" t="s">
        <v>2438</v>
      </c>
      <c r="J1175" t="s">
        <v>2465</v>
      </c>
      <c r="K1175" t="s">
        <v>2569</v>
      </c>
      <c r="M1175" t="s">
        <v>2616</v>
      </c>
    </row>
    <row r="1176" spans="1:14">
      <c r="A1176" s="1">
        <f>HYPERLINK("https://lsnyc.legalserver.org/matter/dynamic-profile/view/1888128","19-1888128")</f>
        <v>0</v>
      </c>
      <c r="B1176" t="s">
        <v>15</v>
      </c>
      <c r="C1176" t="s">
        <v>39</v>
      </c>
      <c r="D1176" t="s">
        <v>432</v>
      </c>
      <c r="E1176" t="s">
        <v>2391</v>
      </c>
      <c r="F1176" t="s">
        <v>2437</v>
      </c>
      <c r="J1176" t="s">
        <v>2465</v>
      </c>
      <c r="K1176" t="s">
        <v>2569</v>
      </c>
      <c r="M1176" t="s">
        <v>2615</v>
      </c>
    </row>
    <row r="1177" spans="1:14">
      <c r="A1177" s="1">
        <f>HYPERLINK("https://lsnyc.legalserver.org/matter/dynamic-profile/view/1888702","19-1888702")</f>
        <v>0</v>
      </c>
      <c r="B1177" t="s">
        <v>15</v>
      </c>
      <c r="C1177" t="s">
        <v>32</v>
      </c>
      <c r="D1177" t="s">
        <v>1000</v>
      </c>
      <c r="E1177" t="s">
        <v>2374</v>
      </c>
      <c r="F1177" t="s">
        <v>2438</v>
      </c>
      <c r="J1177" t="s">
        <v>2465</v>
      </c>
      <c r="K1177" t="s">
        <v>2569</v>
      </c>
      <c r="L1177" t="s">
        <v>2600</v>
      </c>
      <c r="M1177" t="s">
        <v>2616</v>
      </c>
      <c r="N1177" t="s">
        <v>2649</v>
      </c>
    </row>
    <row r="1178" spans="1:14">
      <c r="A1178" s="1">
        <f>HYPERLINK("https://lsnyc.legalserver.org/matter/dynamic-profile/view/1887636","19-1887636")</f>
        <v>0</v>
      </c>
      <c r="B1178" t="s">
        <v>18</v>
      </c>
      <c r="C1178" t="s">
        <v>35</v>
      </c>
      <c r="D1178" t="s">
        <v>1001</v>
      </c>
      <c r="E1178" t="s">
        <v>2381</v>
      </c>
      <c r="F1178" t="s">
        <v>2440</v>
      </c>
      <c r="I1178" t="s">
        <v>2446</v>
      </c>
      <c r="J1178" t="s">
        <v>2448</v>
      </c>
      <c r="K1178" t="s">
        <v>2569</v>
      </c>
      <c r="L1178" t="s">
        <v>2603</v>
      </c>
      <c r="M1178" t="s">
        <v>2631</v>
      </c>
    </row>
    <row r="1179" spans="1:14">
      <c r="A1179" s="1">
        <f>HYPERLINK("https://lsnyc.legalserver.org/matter/dynamic-profile/view/1887644","19-1887644")</f>
        <v>0</v>
      </c>
      <c r="B1179" t="s">
        <v>18</v>
      </c>
      <c r="C1179" t="s">
        <v>35</v>
      </c>
      <c r="D1179" t="s">
        <v>1002</v>
      </c>
      <c r="E1179" t="s">
        <v>2381</v>
      </c>
      <c r="F1179" t="s">
        <v>2440</v>
      </c>
      <c r="I1179" t="s">
        <v>2446</v>
      </c>
      <c r="J1179" t="s">
        <v>2448</v>
      </c>
      <c r="K1179" t="s">
        <v>2569</v>
      </c>
      <c r="L1179" t="s">
        <v>2603</v>
      </c>
      <c r="M1179" t="s">
        <v>2631</v>
      </c>
    </row>
    <row r="1180" spans="1:14">
      <c r="A1180" s="1">
        <f>HYPERLINK("https://lsnyc.legalserver.org/matter/dynamic-profile/view/1887650","19-1887650")</f>
        <v>0</v>
      </c>
      <c r="B1180" t="s">
        <v>18</v>
      </c>
      <c r="C1180" t="s">
        <v>35</v>
      </c>
      <c r="D1180" t="s">
        <v>1003</v>
      </c>
      <c r="E1180" t="s">
        <v>2381</v>
      </c>
      <c r="F1180" t="s">
        <v>2440</v>
      </c>
      <c r="I1180" t="s">
        <v>2446</v>
      </c>
      <c r="J1180" t="s">
        <v>2448</v>
      </c>
      <c r="K1180" t="s">
        <v>2569</v>
      </c>
      <c r="L1180" t="s">
        <v>2603</v>
      </c>
      <c r="M1180" t="s">
        <v>2631</v>
      </c>
    </row>
    <row r="1181" spans="1:14">
      <c r="A1181" s="1">
        <f>HYPERLINK("https://lsnyc.legalserver.org/matter/dynamic-profile/view/1887639","19-1887639")</f>
        <v>0</v>
      </c>
      <c r="B1181" t="s">
        <v>16</v>
      </c>
      <c r="C1181" t="s">
        <v>67</v>
      </c>
      <c r="D1181" t="s">
        <v>1004</v>
      </c>
      <c r="E1181" t="s">
        <v>2390</v>
      </c>
      <c r="F1181" t="s">
        <v>2439</v>
      </c>
      <c r="I1181" t="s">
        <v>2446</v>
      </c>
      <c r="J1181" t="s">
        <v>2467</v>
      </c>
      <c r="K1181" t="s">
        <v>2572</v>
      </c>
      <c r="L1181" t="s">
        <v>2601</v>
      </c>
      <c r="M1181" t="s">
        <v>2631</v>
      </c>
    </row>
    <row r="1182" spans="1:14">
      <c r="A1182" s="1">
        <f>HYPERLINK("https://lsnyc.legalserver.org/matter/dynamic-profile/view/1887553","19-1887553")</f>
        <v>0</v>
      </c>
      <c r="B1182" t="s">
        <v>15</v>
      </c>
      <c r="C1182" t="s">
        <v>31</v>
      </c>
      <c r="D1182" t="s">
        <v>1005</v>
      </c>
      <c r="E1182" t="s">
        <v>2408</v>
      </c>
      <c r="F1182" t="s">
        <v>2437</v>
      </c>
      <c r="I1182" t="s">
        <v>2446</v>
      </c>
      <c r="J1182" t="s">
        <v>2452</v>
      </c>
      <c r="K1182" t="s">
        <v>2572</v>
      </c>
      <c r="M1182" t="s">
        <v>2619</v>
      </c>
    </row>
    <row r="1183" spans="1:14">
      <c r="A1183" s="1">
        <f>HYPERLINK("https://lsnyc.legalserver.org/matter/dynamic-profile/view/1887556","19-1887556")</f>
        <v>0</v>
      </c>
      <c r="B1183" t="s">
        <v>16</v>
      </c>
      <c r="C1183" t="s">
        <v>46</v>
      </c>
      <c r="D1183" t="s">
        <v>1006</v>
      </c>
      <c r="E1183" t="s">
        <v>2408</v>
      </c>
      <c r="F1183" t="s">
        <v>2437</v>
      </c>
      <c r="I1183" t="s">
        <v>2446</v>
      </c>
      <c r="J1183" t="s">
        <v>2452</v>
      </c>
      <c r="K1183" t="s">
        <v>2572</v>
      </c>
      <c r="M1183" t="s">
        <v>2619</v>
      </c>
    </row>
    <row r="1184" spans="1:14">
      <c r="A1184" s="1">
        <f>HYPERLINK("https://lsnyc.legalserver.org/matter/dynamic-profile/view/1887557","19-1887557")</f>
        <v>0</v>
      </c>
      <c r="B1184" t="s">
        <v>16</v>
      </c>
      <c r="C1184" t="s">
        <v>46</v>
      </c>
      <c r="D1184" t="s">
        <v>500</v>
      </c>
      <c r="E1184" t="s">
        <v>2408</v>
      </c>
      <c r="F1184" t="s">
        <v>2437</v>
      </c>
      <c r="I1184" t="s">
        <v>2446</v>
      </c>
      <c r="J1184" t="s">
        <v>2452</v>
      </c>
      <c r="K1184" t="s">
        <v>2572</v>
      </c>
      <c r="M1184" t="s">
        <v>2619</v>
      </c>
    </row>
    <row r="1185" spans="1:13">
      <c r="A1185" s="1">
        <f>HYPERLINK("https://lsnyc.legalserver.org/matter/dynamic-profile/view/1887573","19-1887573")</f>
        <v>0</v>
      </c>
      <c r="B1185" t="s">
        <v>14</v>
      </c>
      <c r="C1185" t="s">
        <v>26</v>
      </c>
      <c r="D1185" t="s">
        <v>314</v>
      </c>
      <c r="E1185" t="s">
        <v>2385</v>
      </c>
      <c r="F1185" t="s">
        <v>2438</v>
      </c>
      <c r="I1185" t="s">
        <v>2446</v>
      </c>
      <c r="J1185" t="s">
        <v>2450</v>
      </c>
      <c r="K1185" t="s">
        <v>2569</v>
      </c>
      <c r="M1185" t="s">
        <v>2616</v>
      </c>
    </row>
    <row r="1186" spans="1:13">
      <c r="A1186" s="1">
        <f>HYPERLINK("https://lsnyc.legalserver.org/matter/dynamic-profile/view/1887579","19-1887579")</f>
        <v>0</v>
      </c>
      <c r="B1186" t="s">
        <v>14</v>
      </c>
      <c r="C1186" t="s">
        <v>26</v>
      </c>
      <c r="D1186" t="s">
        <v>314</v>
      </c>
      <c r="E1186" t="s">
        <v>2391</v>
      </c>
      <c r="F1186" t="s">
        <v>2437</v>
      </c>
      <c r="I1186" t="s">
        <v>2446</v>
      </c>
      <c r="J1186" t="s">
        <v>2450</v>
      </c>
      <c r="K1186" t="s">
        <v>2569</v>
      </c>
      <c r="M1186" t="s">
        <v>2615</v>
      </c>
    </row>
    <row r="1187" spans="1:13">
      <c r="A1187" s="1">
        <f>HYPERLINK("https://lsnyc.legalserver.org/matter/dynamic-profile/view/1887588","19-1887588")</f>
        <v>0</v>
      </c>
      <c r="B1187" t="s">
        <v>14</v>
      </c>
      <c r="C1187" t="s">
        <v>26</v>
      </c>
      <c r="D1187" t="s">
        <v>126</v>
      </c>
      <c r="E1187" t="s">
        <v>2385</v>
      </c>
      <c r="F1187" t="s">
        <v>2438</v>
      </c>
      <c r="I1187" t="s">
        <v>2446</v>
      </c>
      <c r="J1187" t="s">
        <v>2450</v>
      </c>
      <c r="K1187" t="s">
        <v>2569</v>
      </c>
      <c r="M1187" t="s">
        <v>2616</v>
      </c>
    </row>
    <row r="1188" spans="1:13">
      <c r="A1188" s="1">
        <f>HYPERLINK("https://lsnyc.legalserver.org/matter/dynamic-profile/view/1887595","19-1887595")</f>
        <v>0</v>
      </c>
      <c r="B1188" t="s">
        <v>14</v>
      </c>
      <c r="C1188" t="s">
        <v>26</v>
      </c>
      <c r="D1188" t="s">
        <v>126</v>
      </c>
      <c r="E1188" t="s">
        <v>2391</v>
      </c>
      <c r="F1188" t="s">
        <v>2437</v>
      </c>
      <c r="I1188" t="s">
        <v>2446</v>
      </c>
      <c r="J1188" t="s">
        <v>2450</v>
      </c>
      <c r="K1188" t="s">
        <v>2569</v>
      </c>
      <c r="M1188" t="s">
        <v>2615</v>
      </c>
    </row>
    <row r="1189" spans="1:13">
      <c r="A1189" s="1">
        <f>HYPERLINK("https://lsnyc.legalserver.org/matter/dynamic-profile/view/1887596","19-1887596")</f>
        <v>0</v>
      </c>
      <c r="B1189" t="s">
        <v>16</v>
      </c>
      <c r="C1189" t="s">
        <v>46</v>
      </c>
      <c r="D1189" t="s">
        <v>1007</v>
      </c>
      <c r="E1189" t="s">
        <v>2376</v>
      </c>
      <c r="F1189" t="s">
        <v>2437</v>
      </c>
      <c r="G1189" t="s">
        <v>2444</v>
      </c>
      <c r="I1189" t="s">
        <v>2446</v>
      </c>
      <c r="J1189" t="s">
        <v>2457</v>
      </c>
      <c r="K1189" t="s">
        <v>2569</v>
      </c>
      <c r="M1189" t="s">
        <v>2618</v>
      </c>
    </row>
    <row r="1190" spans="1:13">
      <c r="A1190" s="1">
        <f>HYPERLINK("https://lsnyc.legalserver.org/matter/dynamic-profile/view/1887607","19-1887607")</f>
        <v>0</v>
      </c>
      <c r="B1190" t="s">
        <v>16</v>
      </c>
      <c r="C1190" t="s">
        <v>23</v>
      </c>
      <c r="D1190" t="s">
        <v>1008</v>
      </c>
      <c r="E1190" t="s">
        <v>2393</v>
      </c>
      <c r="F1190" t="s">
        <v>2437</v>
      </c>
      <c r="I1190" t="s">
        <v>2446</v>
      </c>
      <c r="J1190" t="s">
        <v>2457</v>
      </c>
      <c r="M1190" t="s">
        <v>2637</v>
      </c>
    </row>
    <row r="1191" spans="1:13">
      <c r="A1191" s="1">
        <f>HYPERLINK("https://lsnyc.legalserver.org/matter/dynamic-profile/view/1887619","19-1887619")</f>
        <v>0</v>
      </c>
      <c r="B1191" t="s">
        <v>18</v>
      </c>
      <c r="C1191" t="s">
        <v>27</v>
      </c>
      <c r="D1191" t="s">
        <v>1009</v>
      </c>
      <c r="E1191" t="s">
        <v>2408</v>
      </c>
      <c r="F1191" t="s">
        <v>2437</v>
      </c>
      <c r="J1191" t="s">
        <v>2448</v>
      </c>
      <c r="K1191" t="s">
        <v>2569</v>
      </c>
      <c r="M1191" t="s">
        <v>2619</v>
      </c>
    </row>
    <row r="1192" spans="1:13">
      <c r="A1192" s="1">
        <f>HYPERLINK("https://lsnyc.legalserver.org/matter/dynamic-profile/view/1887632","19-1887632")</f>
        <v>0</v>
      </c>
      <c r="B1192" t="s">
        <v>15</v>
      </c>
      <c r="C1192" t="s">
        <v>22</v>
      </c>
      <c r="D1192" t="s">
        <v>571</v>
      </c>
      <c r="E1192" t="s">
        <v>2374</v>
      </c>
      <c r="F1192" t="s">
        <v>2438</v>
      </c>
      <c r="J1192" t="s">
        <v>2450</v>
      </c>
      <c r="K1192" t="s">
        <v>2569</v>
      </c>
      <c r="L1192" t="s">
        <v>2600</v>
      </c>
      <c r="M1192" t="s">
        <v>2616</v>
      </c>
    </row>
    <row r="1193" spans="1:13">
      <c r="A1193" s="1">
        <f>HYPERLINK("https://lsnyc.legalserver.org/matter/dynamic-profile/view/1887633","19-1887633")</f>
        <v>0</v>
      </c>
      <c r="B1193" t="s">
        <v>18</v>
      </c>
      <c r="C1193" t="s">
        <v>27</v>
      </c>
      <c r="D1193" t="s">
        <v>1010</v>
      </c>
      <c r="E1193" t="s">
        <v>2408</v>
      </c>
      <c r="F1193" t="s">
        <v>2437</v>
      </c>
      <c r="J1193" t="s">
        <v>2448</v>
      </c>
      <c r="K1193" t="s">
        <v>2569</v>
      </c>
      <c r="M1193" t="s">
        <v>2619</v>
      </c>
    </row>
    <row r="1194" spans="1:13">
      <c r="A1194" s="1">
        <f>HYPERLINK("https://lsnyc.legalserver.org/matter/dynamic-profile/view/1887666","19-1887666")</f>
        <v>0</v>
      </c>
      <c r="B1194" t="s">
        <v>15</v>
      </c>
      <c r="C1194" t="s">
        <v>30</v>
      </c>
      <c r="D1194" t="s">
        <v>1011</v>
      </c>
      <c r="E1194" t="s">
        <v>2371</v>
      </c>
      <c r="F1194" t="s">
        <v>2440</v>
      </c>
      <c r="J1194" t="s">
        <v>2457</v>
      </c>
      <c r="K1194" t="s">
        <v>2569</v>
      </c>
      <c r="M1194" t="s">
        <v>2636</v>
      </c>
    </row>
    <row r="1195" spans="1:13">
      <c r="A1195" s="1">
        <f>HYPERLINK("https://lsnyc.legalserver.org/matter/dynamic-profile/view/1887680","19-1887680")</f>
        <v>0</v>
      </c>
      <c r="B1195" t="s">
        <v>16</v>
      </c>
      <c r="C1195" t="s">
        <v>23</v>
      </c>
      <c r="D1195" t="s">
        <v>1012</v>
      </c>
      <c r="E1195" t="s">
        <v>2381</v>
      </c>
      <c r="F1195" t="s">
        <v>2437</v>
      </c>
      <c r="I1195" t="s">
        <v>2446</v>
      </c>
      <c r="J1195" t="s">
        <v>2452</v>
      </c>
      <c r="M1195" t="s">
        <v>2622</v>
      </c>
    </row>
    <row r="1196" spans="1:13">
      <c r="A1196" s="1">
        <f>HYPERLINK("https://lsnyc.legalserver.org/matter/dynamic-profile/view/1887684","19-1887684")</f>
        <v>0</v>
      </c>
      <c r="B1196" t="s">
        <v>15</v>
      </c>
      <c r="C1196" t="s">
        <v>30</v>
      </c>
      <c r="D1196" t="s">
        <v>1013</v>
      </c>
      <c r="E1196" t="s">
        <v>2405</v>
      </c>
      <c r="F1196" t="s">
        <v>2437</v>
      </c>
      <c r="I1196" t="s">
        <v>2446</v>
      </c>
      <c r="J1196" t="s">
        <v>2450</v>
      </c>
      <c r="K1196" t="s">
        <v>2569</v>
      </c>
      <c r="M1196" t="s">
        <v>2613</v>
      </c>
    </row>
    <row r="1197" spans="1:13">
      <c r="A1197" s="1">
        <f>HYPERLINK("https://lsnyc.legalserver.org/matter/dynamic-profile/view/1887496","19-1887496")</f>
        <v>0</v>
      </c>
      <c r="B1197" t="s">
        <v>18</v>
      </c>
      <c r="C1197" t="s">
        <v>45</v>
      </c>
      <c r="D1197" t="s">
        <v>1014</v>
      </c>
      <c r="E1197" t="s">
        <v>2387</v>
      </c>
      <c r="F1197" t="s">
        <v>2439</v>
      </c>
      <c r="I1197" t="s">
        <v>2446</v>
      </c>
      <c r="J1197" t="s">
        <v>2457</v>
      </c>
      <c r="K1197" t="s">
        <v>2569</v>
      </c>
      <c r="L1197" t="s">
        <v>2601</v>
      </c>
      <c r="M1197" t="s">
        <v>2641</v>
      </c>
    </row>
    <row r="1198" spans="1:13">
      <c r="A1198" s="1">
        <f>HYPERLINK("https://lsnyc.legalserver.org/matter/dynamic-profile/view/1887481","19-1887481")</f>
        <v>0</v>
      </c>
      <c r="B1198" t="s">
        <v>16</v>
      </c>
      <c r="C1198" t="s">
        <v>46</v>
      </c>
      <c r="D1198" t="s">
        <v>540</v>
      </c>
      <c r="E1198" t="s">
        <v>2390</v>
      </c>
      <c r="F1198" t="s">
        <v>2437</v>
      </c>
      <c r="I1198" t="s">
        <v>2446</v>
      </c>
      <c r="J1198" t="s">
        <v>2476</v>
      </c>
      <c r="K1198" t="s">
        <v>2572</v>
      </c>
      <c r="L1198" t="s">
        <v>2600</v>
      </c>
      <c r="M1198" t="s">
        <v>2619</v>
      </c>
    </row>
    <row r="1199" spans="1:13">
      <c r="A1199" s="1">
        <f>HYPERLINK("https://lsnyc.legalserver.org/matter/dynamic-profile/view/1887508","19-1887508")</f>
        <v>0</v>
      </c>
      <c r="B1199" t="s">
        <v>15</v>
      </c>
      <c r="C1199" t="s">
        <v>31</v>
      </c>
      <c r="D1199" t="s">
        <v>1015</v>
      </c>
      <c r="E1199" t="s">
        <v>2381</v>
      </c>
      <c r="F1199" t="s">
        <v>2437</v>
      </c>
      <c r="I1199" t="s">
        <v>2446</v>
      </c>
      <c r="J1199" t="s">
        <v>2498</v>
      </c>
      <c r="K1199" t="s">
        <v>2586</v>
      </c>
      <c r="L1199" t="s">
        <v>2602</v>
      </c>
      <c r="M1199" t="s">
        <v>2622</v>
      </c>
    </row>
    <row r="1200" spans="1:13">
      <c r="A1200" s="1">
        <f>HYPERLINK("https://lsnyc.legalserver.org/matter/dynamic-profile/view/1887521","19-1887521")</f>
        <v>0</v>
      </c>
      <c r="B1200" t="s">
        <v>16</v>
      </c>
      <c r="C1200" t="s">
        <v>24</v>
      </c>
      <c r="D1200" t="s">
        <v>1016</v>
      </c>
      <c r="E1200" t="s">
        <v>2390</v>
      </c>
      <c r="F1200" t="s">
        <v>2437</v>
      </c>
      <c r="I1200" t="s">
        <v>2446</v>
      </c>
      <c r="J1200" t="s">
        <v>2448</v>
      </c>
      <c r="K1200" t="s">
        <v>2569</v>
      </c>
      <c r="M1200" t="s">
        <v>2626</v>
      </c>
    </row>
    <row r="1201" spans="1:14">
      <c r="A1201" s="1">
        <f>HYPERLINK("https://lsnyc.legalserver.org/matter/dynamic-profile/view/1887535","19-1887535")</f>
        <v>0</v>
      </c>
      <c r="B1201" t="s">
        <v>14</v>
      </c>
      <c r="C1201" t="s">
        <v>26</v>
      </c>
      <c r="D1201" t="s">
        <v>395</v>
      </c>
      <c r="E1201" t="s">
        <v>2403</v>
      </c>
      <c r="F1201" t="s">
        <v>2441</v>
      </c>
      <c r="I1201" t="s">
        <v>2446</v>
      </c>
      <c r="J1201" t="s">
        <v>2450</v>
      </c>
      <c r="K1201" t="s">
        <v>2569</v>
      </c>
      <c r="M1201" t="s">
        <v>2639</v>
      </c>
    </row>
    <row r="1202" spans="1:14">
      <c r="A1202" s="1">
        <f>HYPERLINK("https://lsnyc.legalserver.org/matter/dynamic-profile/view/1887332","19-1887332")</f>
        <v>0</v>
      </c>
      <c r="B1202" t="s">
        <v>16</v>
      </c>
      <c r="C1202" t="s">
        <v>67</v>
      </c>
      <c r="D1202" t="s">
        <v>1017</v>
      </c>
      <c r="E1202" t="s">
        <v>2390</v>
      </c>
      <c r="F1202" t="s">
        <v>2439</v>
      </c>
      <c r="I1202" t="s">
        <v>2446</v>
      </c>
      <c r="J1202" t="s">
        <v>2448</v>
      </c>
      <c r="K1202" t="s">
        <v>2569</v>
      </c>
      <c r="L1202" t="s">
        <v>2601</v>
      </c>
      <c r="M1202" t="s">
        <v>2631</v>
      </c>
    </row>
    <row r="1203" spans="1:14">
      <c r="A1203" s="1">
        <f>HYPERLINK("https://lsnyc.legalserver.org/matter/dynamic-profile/view/1887358","19-1887358")</f>
        <v>0</v>
      </c>
      <c r="B1203" t="s">
        <v>16</v>
      </c>
      <c r="C1203" t="s">
        <v>46</v>
      </c>
      <c r="D1203" t="s">
        <v>539</v>
      </c>
      <c r="E1203" t="s">
        <v>2390</v>
      </c>
      <c r="F1203" t="s">
        <v>2437</v>
      </c>
      <c r="I1203" t="s">
        <v>2446</v>
      </c>
      <c r="J1203" t="s">
        <v>2490</v>
      </c>
      <c r="K1203" t="s">
        <v>2572</v>
      </c>
      <c r="M1203" t="s">
        <v>2619</v>
      </c>
    </row>
    <row r="1204" spans="1:14">
      <c r="A1204" s="1">
        <f>HYPERLINK("https://lsnyc.legalserver.org/matter/dynamic-profile/view/1887359","19-1887359")</f>
        <v>0</v>
      </c>
      <c r="B1204" t="s">
        <v>16</v>
      </c>
      <c r="C1204" t="s">
        <v>46</v>
      </c>
      <c r="D1204" t="s">
        <v>601</v>
      </c>
      <c r="E1204" t="s">
        <v>2390</v>
      </c>
      <c r="F1204" t="s">
        <v>2437</v>
      </c>
      <c r="I1204" t="s">
        <v>2446</v>
      </c>
      <c r="J1204" t="s">
        <v>2491</v>
      </c>
      <c r="K1204" t="s">
        <v>2572</v>
      </c>
      <c r="L1204" t="s">
        <v>2600</v>
      </c>
      <c r="M1204" t="s">
        <v>2619</v>
      </c>
    </row>
    <row r="1205" spans="1:14">
      <c r="A1205" s="1">
        <f>HYPERLINK("https://lsnyc.legalserver.org/matter/dynamic-profile/view/1887381","19-1887381")</f>
        <v>0</v>
      </c>
      <c r="B1205" t="s">
        <v>15</v>
      </c>
      <c r="C1205" t="s">
        <v>37</v>
      </c>
      <c r="D1205" t="s">
        <v>1018</v>
      </c>
      <c r="E1205" t="s">
        <v>2419</v>
      </c>
      <c r="F1205" t="s">
        <v>2437</v>
      </c>
      <c r="I1205" t="s">
        <v>2446</v>
      </c>
      <c r="J1205" t="s">
        <v>2457</v>
      </c>
      <c r="K1205" t="s">
        <v>2569</v>
      </c>
      <c r="L1205" t="s">
        <v>2600</v>
      </c>
      <c r="M1205" t="s">
        <v>2626</v>
      </c>
    </row>
    <row r="1206" spans="1:14">
      <c r="A1206" s="1">
        <f>HYPERLINK("https://lsnyc.legalserver.org/matter/dynamic-profile/view/1887383","19-1887383")</f>
        <v>0</v>
      </c>
      <c r="B1206" t="s">
        <v>14</v>
      </c>
      <c r="C1206" t="s">
        <v>68</v>
      </c>
      <c r="D1206" t="s">
        <v>1019</v>
      </c>
      <c r="E1206" t="s">
        <v>2404</v>
      </c>
      <c r="F1206" t="s">
        <v>2438</v>
      </c>
      <c r="I1206" t="s">
        <v>2446</v>
      </c>
      <c r="J1206" t="s">
        <v>2450</v>
      </c>
      <c r="K1206" t="s">
        <v>2569</v>
      </c>
      <c r="M1206" t="s">
        <v>2640</v>
      </c>
    </row>
    <row r="1207" spans="1:14">
      <c r="A1207" s="1">
        <f>HYPERLINK("https://lsnyc.legalserver.org/matter/dynamic-profile/view/1887390","19-1887390")</f>
        <v>0</v>
      </c>
      <c r="B1207" t="s">
        <v>15</v>
      </c>
      <c r="C1207" t="s">
        <v>29</v>
      </c>
      <c r="D1207" t="s">
        <v>1020</v>
      </c>
      <c r="E1207" t="s">
        <v>2415</v>
      </c>
      <c r="G1207" t="s">
        <v>2444</v>
      </c>
      <c r="I1207" t="s">
        <v>2446</v>
      </c>
      <c r="J1207" t="s">
        <v>2465</v>
      </c>
      <c r="K1207" t="s">
        <v>2569</v>
      </c>
      <c r="M1207" t="s">
        <v>2630</v>
      </c>
    </row>
    <row r="1208" spans="1:14">
      <c r="A1208" s="1">
        <f>HYPERLINK("https://lsnyc.legalserver.org/matter/dynamic-profile/view/1887412","19-1887412")</f>
        <v>0</v>
      </c>
      <c r="B1208" t="s">
        <v>19</v>
      </c>
      <c r="C1208" t="s">
        <v>38</v>
      </c>
      <c r="D1208" t="s">
        <v>1021</v>
      </c>
      <c r="E1208" t="s">
        <v>2390</v>
      </c>
      <c r="F1208" t="s">
        <v>2437</v>
      </c>
      <c r="I1208" t="s">
        <v>2446</v>
      </c>
      <c r="J1208" t="s">
        <v>2502</v>
      </c>
      <c r="K1208" t="s">
        <v>2572</v>
      </c>
      <c r="L1208" t="s">
        <v>2600</v>
      </c>
      <c r="M1208" t="s">
        <v>2619</v>
      </c>
      <c r="N1208" t="s">
        <v>2648</v>
      </c>
    </row>
    <row r="1209" spans="1:14">
      <c r="A1209" s="1">
        <f>HYPERLINK("https://lsnyc.legalserver.org/matter/dynamic-profile/view/1887188","19-1887188")</f>
        <v>0</v>
      </c>
      <c r="B1209" t="s">
        <v>19</v>
      </c>
      <c r="C1209" t="s">
        <v>50</v>
      </c>
      <c r="D1209" t="s">
        <v>1022</v>
      </c>
      <c r="E1209" t="s">
        <v>2387</v>
      </c>
      <c r="F1209" t="s">
        <v>2439</v>
      </c>
      <c r="I1209" t="s">
        <v>2446</v>
      </c>
      <c r="J1209" t="s">
        <v>2499</v>
      </c>
      <c r="K1209" t="s">
        <v>2572</v>
      </c>
      <c r="L1209" t="s">
        <v>2601</v>
      </c>
      <c r="M1209" t="s">
        <v>2641</v>
      </c>
    </row>
    <row r="1210" spans="1:14">
      <c r="A1210" s="1">
        <f>HYPERLINK("https://lsnyc.legalserver.org/matter/dynamic-profile/view/1887165","19-1887165")</f>
        <v>0</v>
      </c>
      <c r="B1210" t="s">
        <v>18</v>
      </c>
      <c r="C1210" t="s">
        <v>45</v>
      </c>
      <c r="D1210" t="s">
        <v>1023</v>
      </c>
      <c r="E1210" t="s">
        <v>2394</v>
      </c>
      <c r="F1210" t="s">
        <v>2439</v>
      </c>
      <c r="I1210" t="s">
        <v>2446</v>
      </c>
      <c r="J1210" t="s">
        <v>2482</v>
      </c>
      <c r="K1210" t="s">
        <v>2572</v>
      </c>
      <c r="L1210" t="s">
        <v>2601</v>
      </c>
      <c r="M1210" t="s">
        <v>2631</v>
      </c>
    </row>
    <row r="1211" spans="1:14">
      <c r="A1211" s="1">
        <f>HYPERLINK("https://lsnyc.legalserver.org/matter/dynamic-profile/view/1887174","19-1887174")</f>
        <v>0</v>
      </c>
      <c r="B1211" t="s">
        <v>14</v>
      </c>
      <c r="C1211" t="s">
        <v>20</v>
      </c>
      <c r="D1211" t="s">
        <v>1024</v>
      </c>
      <c r="E1211" t="s">
        <v>2375</v>
      </c>
      <c r="F1211" t="s">
        <v>2439</v>
      </c>
      <c r="I1211" t="s">
        <v>2446</v>
      </c>
      <c r="J1211" t="s">
        <v>2448</v>
      </c>
      <c r="K1211" t="s">
        <v>2572</v>
      </c>
      <c r="L1211" t="s">
        <v>2602</v>
      </c>
      <c r="M1211" t="s">
        <v>2631</v>
      </c>
    </row>
    <row r="1212" spans="1:14">
      <c r="A1212" s="1">
        <f>HYPERLINK("https://lsnyc.legalserver.org/matter/dynamic-profile/view/1887203","19-1887203")</f>
        <v>0</v>
      </c>
      <c r="B1212" t="s">
        <v>15</v>
      </c>
      <c r="C1212" t="s">
        <v>55</v>
      </c>
      <c r="D1212" t="s">
        <v>1025</v>
      </c>
      <c r="E1212" t="s">
        <v>2374</v>
      </c>
      <c r="F1212" t="s">
        <v>2438</v>
      </c>
      <c r="G1212" t="s">
        <v>2444</v>
      </c>
      <c r="I1212" t="s">
        <v>2446</v>
      </c>
      <c r="J1212" t="s">
        <v>2449</v>
      </c>
      <c r="K1212" t="s">
        <v>2569</v>
      </c>
      <c r="M1212" t="s">
        <v>2616</v>
      </c>
    </row>
    <row r="1213" spans="1:14">
      <c r="A1213" s="1">
        <f>HYPERLINK("https://lsnyc.legalserver.org/matter/dynamic-profile/view/1887090","19-1887090")</f>
        <v>0</v>
      </c>
      <c r="B1213" t="s">
        <v>18</v>
      </c>
      <c r="C1213" t="s">
        <v>35</v>
      </c>
      <c r="D1213" t="s">
        <v>1026</v>
      </c>
      <c r="E1213" t="s">
        <v>2400</v>
      </c>
      <c r="F1213" t="s">
        <v>2437</v>
      </c>
      <c r="J1213" t="s">
        <v>2457</v>
      </c>
      <c r="K1213" t="s">
        <v>2569</v>
      </c>
      <c r="L1213" t="s">
        <v>2603</v>
      </c>
      <c r="M1213" t="s">
        <v>2635</v>
      </c>
    </row>
    <row r="1214" spans="1:14">
      <c r="A1214" s="1">
        <f>HYPERLINK("https://lsnyc.legalserver.org/matter/dynamic-profile/view/1887091","19-1887091")</f>
        <v>0</v>
      </c>
      <c r="B1214" t="s">
        <v>18</v>
      </c>
      <c r="C1214" t="s">
        <v>35</v>
      </c>
      <c r="D1214" t="s">
        <v>1026</v>
      </c>
      <c r="E1214" t="s">
        <v>2376</v>
      </c>
      <c r="F1214" t="s">
        <v>2437</v>
      </c>
      <c r="I1214" t="s">
        <v>2446</v>
      </c>
      <c r="J1214" t="s">
        <v>2457</v>
      </c>
      <c r="K1214" t="s">
        <v>2569</v>
      </c>
      <c r="L1214" t="s">
        <v>2603</v>
      </c>
      <c r="M1214" t="s">
        <v>2618</v>
      </c>
    </row>
    <row r="1215" spans="1:14">
      <c r="A1215" s="1">
        <f>HYPERLINK("https://lsnyc.legalserver.org/matter/dynamic-profile/view/1887036","19-1887036")</f>
        <v>0</v>
      </c>
      <c r="B1215" t="s">
        <v>18</v>
      </c>
      <c r="C1215" t="s">
        <v>34</v>
      </c>
      <c r="D1215" t="s">
        <v>1027</v>
      </c>
      <c r="E1215" t="s">
        <v>2374</v>
      </c>
      <c r="F1215" t="s">
        <v>2438</v>
      </c>
      <c r="I1215" t="s">
        <v>2446</v>
      </c>
      <c r="J1215" t="s">
        <v>2471</v>
      </c>
      <c r="K1215" t="s">
        <v>2572</v>
      </c>
      <c r="M1215" t="s">
        <v>2616</v>
      </c>
    </row>
    <row r="1216" spans="1:14">
      <c r="A1216" s="1">
        <f>HYPERLINK("https://lsnyc.legalserver.org/matter/dynamic-profile/view/1887076","19-1887076")</f>
        <v>0</v>
      </c>
      <c r="B1216" t="s">
        <v>18</v>
      </c>
      <c r="C1216" t="s">
        <v>45</v>
      </c>
      <c r="D1216" t="s">
        <v>636</v>
      </c>
      <c r="E1216" t="s">
        <v>2374</v>
      </c>
      <c r="F1216" t="s">
        <v>2438</v>
      </c>
      <c r="J1216" t="s">
        <v>2450</v>
      </c>
      <c r="K1216" t="s">
        <v>2569</v>
      </c>
      <c r="M1216" t="s">
        <v>2616</v>
      </c>
    </row>
    <row r="1217" spans="1:14">
      <c r="A1217" s="1">
        <f>HYPERLINK("https://lsnyc.legalserver.org/matter/dynamic-profile/view/1887134","19-1887134")</f>
        <v>0</v>
      </c>
      <c r="B1217" t="s">
        <v>14</v>
      </c>
      <c r="C1217" t="s">
        <v>26</v>
      </c>
      <c r="D1217" t="s">
        <v>303</v>
      </c>
      <c r="E1217" t="s">
        <v>2374</v>
      </c>
      <c r="F1217" t="s">
        <v>2438</v>
      </c>
      <c r="I1217" t="s">
        <v>2446</v>
      </c>
      <c r="J1217" t="s">
        <v>2449</v>
      </c>
      <c r="K1217" t="s">
        <v>2569</v>
      </c>
      <c r="M1217" t="s">
        <v>2616</v>
      </c>
    </row>
    <row r="1218" spans="1:14">
      <c r="A1218" s="1">
        <f>HYPERLINK("https://lsnyc.legalserver.org/matter/dynamic-profile/view/1887137","19-1887137")</f>
        <v>0</v>
      </c>
      <c r="B1218" t="s">
        <v>14</v>
      </c>
      <c r="C1218" t="s">
        <v>26</v>
      </c>
      <c r="D1218" t="s">
        <v>328</v>
      </c>
      <c r="E1218" t="s">
        <v>2374</v>
      </c>
      <c r="F1218" t="s">
        <v>2438</v>
      </c>
      <c r="I1218" t="s">
        <v>2446</v>
      </c>
      <c r="J1218" t="s">
        <v>2449</v>
      </c>
      <c r="K1218" t="s">
        <v>2569</v>
      </c>
      <c r="M1218" t="s">
        <v>2616</v>
      </c>
    </row>
    <row r="1219" spans="1:14">
      <c r="A1219" s="1">
        <f>HYPERLINK("https://lsnyc.legalserver.org/matter/dynamic-profile/view/1886945","19-1886945")</f>
        <v>0</v>
      </c>
      <c r="B1219" t="s">
        <v>18</v>
      </c>
      <c r="C1219" t="s">
        <v>34</v>
      </c>
      <c r="D1219" t="s">
        <v>1028</v>
      </c>
      <c r="E1219" t="s">
        <v>2424</v>
      </c>
      <c r="F1219" t="s">
        <v>2437</v>
      </c>
      <c r="I1219" t="s">
        <v>2446</v>
      </c>
      <c r="J1219" t="s">
        <v>2518</v>
      </c>
      <c r="K1219" t="s">
        <v>2582</v>
      </c>
      <c r="L1219" t="s">
        <v>2603</v>
      </c>
      <c r="M1219" t="s">
        <v>2633</v>
      </c>
    </row>
    <row r="1220" spans="1:14">
      <c r="A1220" s="1">
        <f>HYPERLINK("https://lsnyc.legalserver.org/matter/dynamic-profile/view/1886935","19-1886935")</f>
        <v>0</v>
      </c>
      <c r="B1220" t="s">
        <v>14</v>
      </c>
      <c r="C1220" t="s">
        <v>69</v>
      </c>
      <c r="D1220" t="s">
        <v>1029</v>
      </c>
      <c r="E1220" t="s">
        <v>2390</v>
      </c>
      <c r="F1220" t="s">
        <v>2437</v>
      </c>
      <c r="G1220" t="s">
        <v>2444</v>
      </c>
      <c r="K1220" t="s">
        <v>2569</v>
      </c>
      <c r="L1220" t="s">
        <v>2605</v>
      </c>
      <c r="M1220" t="s">
        <v>2619</v>
      </c>
    </row>
    <row r="1221" spans="1:14">
      <c r="A1221" s="1">
        <f>HYPERLINK("https://lsnyc.legalserver.org/matter/dynamic-profile/view/1886973","19-1886973")</f>
        <v>0</v>
      </c>
      <c r="B1221" t="s">
        <v>19</v>
      </c>
      <c r="C1221" t="s">
        <v>38</v>
      </c>
      <c r="D1221" t="s">
        <v>1030</v>
      </c>
      <c r="E1221" t="s">
        <v>2390</v>
      </c>
      <c r="F1221" t="s">
        <v>2436</v>
      </c>
      <c r="J1221" t="s">
        <v>2448</v>
      </c>
      <c r="K1221" t="s">
        <v>2569</v>
      </c>
      <c r="L1221" t="s">
        <v>2610</v>
      </c>
      <c r="M1221" t="s">
        <v>2631</v>
      </c>
      <c r="N1221" t="s">
        <v>2648</v>
      </c>
    </row>
    <row r="1222" spans="1:14">
      <c r="A1222" s="1">
        <f>HYPERLINK("https://lsnyc.legalserver.org/matter/dynamic-profile/view/1886939","19-1886939")</f>
        <v>0</v>
      </c>
      <c r="B1222" t="s">
        <v>16</v>
      </c>
      <c r="C1222" t="s">
        <v>23</v>
      </c>
      <c r="D1222" t="s">
        <v>501</v>
      </c>
      <c r="E1222" t="s">
        <v>2390</v>
      </c>
      <c r="F1222" t="s">
        <v>2437</v>
      </c>
      <c r="I1222" t="s">
        <v>2446</v>
      </c>
      <c r="J1222" t="s">
        <v>2452</v>
      </c>
      <c r="K1222" t="s">
        <v>2572</v>
      </c>
      <c r="M1222" t="s">
        <v>2619</v>
      </c>
    </row>
    <row r="1223" spans="1:14">
      <c r="A1223" s="1">
        <f>HYPERLINK("https://lsnyc.legalserver.org/matter/dynamic-profile/view/1886952","19-1886952")</f>
        <v>0</v>
      </c>
      <c r="B1223" t="s">
        <v>18</v>
      </c>
      <c r="C1223" t="s">
        <v>34</v>
      </c>
      <c r="D1223" t="s">
        <v>1031</v>
      </c>
      <c r="E1223" t="s">
        <v>2385</v>
      </c>
      <c r="F1223" t="s">
        <v>2438</v>
      </c>
      <c r="I1223" t="s">
        <v>2446</v>
      </c>
      <c r="J1223" t="s">
        <v>2529</v>
      </c>
      <c r="K1223" t="s">
        <v>2572</v>
      </c>
      <c r="L1223" t="s">
        <v>2600</v>
      </c>
      <c r="M1223" t="s">
        <v>2616</v>
      </c>
    </row>
    <row r="1224" spans="1:14">
      <c r="A1224" s="1">
        <f>HYPERLINK("https://lsnyc.legalserver.org/matter/dynamic-profile/view/1886955","19-1886955")</f>
        <v>0</v>
      </c>
      <c r="B1224" t="s">
        <v>15</v>
      </c>
      <c r="C1224" t="s">
        <v>49</v>
      </c>
      <c r="D1224" t="s">
        <v>1032</v>
      </c>
      <c r="E1224" t="s">
        <v>2390</v>
      </c>
      <c r="F1224" t="s">
        <v>2437</v>
      </c>
      <c r="H1224" t="s">
        <v>2445</v>
      </c>
      <c r="J1224" t="s">
        <v>2467</v>
      </c>
      <c r="K1224" t="s">
        <v>2572</v>
      </c>
      <c r="M1224" t="s">
        <v>2619</v>
      </c>
    </row>
    <row r="1225" spans="1:14">
      <c r="A1225" s="1">
        <f>HYPERLINK("https://lsnyc.legalserver.org/matter/dynamic-profile/view/1886999","19-1886999")</f>
        <v>0</v>
      </c>
      <c r="B1225" t="s">
        <v>15</v>
      </c>
      <c r="C1225" t="s">
        <v>49</v>
      </c>
      <c r="D1225" t="s">
        <v>1033</v>
      </c>
      <c r="F1225" t="s">
        <v>2437</v>
      </c>
      <c r="H1225" t="s">
        <v>2445</v>
      </c>
      <c r="J1225" t="s">
        <v>2515</v>
      </c>
      <c r="K1225" t="s">
        <v>2572</v>
      </c>
      <c r="M1225" t="s">
        <v>2614</v>
      </c>
      <c r="N1225" t="s">
        <v>2648</v>
      </c>
    </row>
    <row r="1226" spans="1:14">
      <c r="A1226" s="1">
        <f>HYPERLINK("https://lsnyc.legalserver.org/matter/dynamic-profile/view/1886850","19-1886850")</f>
        <v>0</v>
      </c>
      <c r="B1226" t="s">
        <v>18</v>
      </c>
      <c r="C1226" t="s">
        <v>34</v>
      </c>
      <c r="D1226" t="s">
        <v>1034</v>
      </c>
      <c r="E1226" t="s">
        <v>2376</v>
      </c>
      <c r="F1226" t="s">
        <v>2437</v>
      </c>
      <c r="I1226" t="s">
        <v>2446</v>
      </c>
      <c r="J1226" t="s">
        <v>2449</v>
      </c>
      <c r="K1226" t="s">
        <v>2569</v>
      </c>
      <c r="L1226" t="s">
        <v>2601</v>
      </c>
      <c r="M1226" t="s">
        <v>2631</v>
      </c>
    </row>
    <row r="1227" spans="1:14">
      <c r="A1227" s="1">
        <f>HYPERLINK("https://lsnyc.legalserver.org/matter/dynamic-profile/view/1886860","19-1886860")</f>
        <v>0</v>
      </c>
      <c r="B1227" t="s">
        <v>18</v>
      </c>
      <c r="C1227" t="s">
        <v>34</v>
      </c>
      <c r="D1227" t="s">
        <v>1034</v>
      </c>
      <c r="E1227" t="s">
        <v>2382</v>
      </c>
      <c r="F1227" t="s">
        <v>2437</v>
      </c>
      <c r="I1227" t="s">
        <v>2446</v>
      </c>
      <c r="J1227" t="s">
        <v>2449</v>
      </c>
      <c r="K1227" t="s">
        <v>2569</v>
      </c>
      <c r="L1227" t="s">
        <v>2601</v>
      </c>
      <c r="M1227" t="s">
        <v>2631</v>
      </c>
    </row>
    <row r="1228" spans="1:14">
      <c r="A1228" s="1">
        <f>HYPERLINK("https://lsnyc.legalserver.org/matter/dynamic-profile/view/1886813","19-1886813")</f>
        <v>0</v>
      </c>
      <c r="B1228" t="s">
        <v>16</v>
      </c>
      <c r="C1228" t="s">
        <v>46</v>
      </c>
      <c r="D1228" t="s">
        <v>512</v>
      </c>
      <c r="E1228" t="s">
        <v>2408</v>
      </c>
      <c r="F1228" t="s">
        <v>2437</v>
      </c>
      <c r="I1228" t="s">
        <v>2446</v>
      </c>
      <c r="J1228" t="s">
        <v>2467</v>
      </c>
      <c r="K1228" t="s">
        <v>2572</v>
      </c>
      <c r="M1228" t="s">
        <v>2619</v>
      </c>
    </row>
    <row r="1229" spans="1:14">
      <c r="A1229" s="1">
        <f>HYPERLINK("https://lsnyc.legalserver.org/matter/dynamic-profile/view/1886838","19-1886838")</f>
        <v>0</v>
      </c>
      <c r="B1229" t="s">
        <v>18</v>
      </c>
      <c r="C1229" t="s">
        <v>45</v>
      </c>
      <c r="D1229" t="s">
        <v>1035</v>
      </c>
      <c r="E1229" t="s">
        <v>2394</v>
      </c>
      <c r="F1229" t="s">
        <v>2439</v>
      </c>
      <c r="I1229" t="s">
        <v>2446</v>
      </c>
      <c r="J1229" t="s">
        <v>2472</v>
      </c>
      <c r="K1229" t="s">
        <v>2572</v>
      </c>
      <c r="M1229" t="s">
        <v>2631</v>
      </c>
    </row>
    <row r="1230" spans="1:14">
      <c r="A1230" s="1">
        <f>HYPERLINK("https://lsnyc.legalserver.org/matter/dynamic-profile/view/1886763","18-1886763")</f>
        <v>0</v>
      </c>
      <c r="B1230" t="s">
        <v>16</v>
      </c>
      <c r="C1230" t="s">
        <v>23</v>
      </c>
      <c r="D1230" t="s">
        <v>510</v>
      </c>
      <c r="E1230" t="s">
        <v>2390</v>
      </c>
      <c r="F1230" t="s">
        <v>2437</v>
      </c>
      <c r="I1230" t="s">
        <v>2446</v>
      </c>
      <c r="J1230" t="s">
        <v>2453</v>
      </c>
      <c r="K1230" t="s">
        <v>2572</v>
      </c>
      <c r="M1230" t="s">
        <v>2619</v>
      </c>
    </row>
    <row r="1231" spans="1:14">
      <c r="A1231" s="1">
        <f>HYPERLINK("https://lsnyc.legalserver.org/matter/dynamic-profile/view/1886681","18-1886681")</f>
        <v>0</v>
      </c>
      <c r="B1231" t="s">
        <v>16</v>
      </c>
      <c r="C1231" t="s">
        <v>67</v>
      </c>
      <c r="D1231" t="s">
        <v>1036</v>
      </c>
      <c r="E1231" t="s">
        <v>2390</v>
      </c>
      <c r="F1231" t="s">
        <v>2439</v>
      </c>
      <c r="I1231" t="s">
        <v>2446</v>
      </c>
      <c r="J1231" t="s">
        <v>2452</v>
      </c>
      <c r="K1231" t="s">
        <v>2572</v>
      </c>
      <c r="L1231" t="s">
        <v>2601</v>
      </c>
      <c r="M1231" t="s">
        <v>2631</v>
      </c>
    </row>
    <row r="1232" spans="1:14">
      <c r="A1232" s="1">
        <f>HYPERLINK("https://lsnyc.legalserver.org/matter/dynamic-profile/view/1886913","19-1886913")</f>
        <v>0</v>
      </c>
      <c r="B1232" t="s">
        <v>17</v>
      </c>
      <c r="C1232" t="s">
        <v>42</v>
      </c>
      <c r="D1232" t="s">
        <v>1037</v>
      </c>
      <c r="E1232" t="s">
        <v>2374</v>
      </c>
      <c r="F1232" t="s">
        <v>2439</v>
      </c>
      <c r="I1232" t="s">
        <v>2446</v>
      </c>
      <c r="J1232" t="s">
        <v>2450</v>
      </c>
      <c r="K1232" t="s">
        <v>2569</v>
      </c>
      <c r="L1232" t="s">
        <v>2601</v>
      </c>
      <c r="M1232" t="s">
        <v>2631</v>
      </c>
    </row>
    <row r="1233" spans="1:13">
      <c r="A1233" s="1">
        <f>HYPERLINK("https://lsnyc.legalserver.org/matter/dynamic-profile/view/1886710","18-1886710")</f>
        <v>0</v>
      </c>
      <c r="B1233" t="s">
        <v>15</v>
      </c>
      <c r="C1233" t="s">
        <v>30</v>
      </c>
      <c r="D1233" t="s">
        <v>1038</v>
      </c>
      <c r="E1233" t="s">
        <v>2406</v>
      </c>
      <c r="F1233" t="s">
        <v>2437</v>
      </c>
      <c r="I1233" t="s">
        <v>2446</v>
      </c>
      <c r="J1233" t="s">
        <v>2457</v>
      </c>
      <c r="K1233" t="s">
        <v>2569</v>
      </c>
      <c r="M1233" t="s">
        <v>2642</v>
      </c>
    </row>
    <row r="1234" spans="1:13">
      <c r="A1234" s="1">
        <f>HYPERLINK("https://lsnyc.legalserver.org/matter/dynamic-profile/view/1886924","19-1886924")</f>
        <v>0</v>
      </c>
      <c r="B1234" t="s">
        <v>17</v>
      </c>
      <c r="C1234" t="s">
        <v>42</v>
      </c>
      <c r="D1234" t="s">
        <v>1039</v>
      </c>
      <c r="E1234" t="s">
        <v>2374</v>
      </c>
      <c r="F1234" t="s">
        <v>2438</v>
      </c>
      <c r="I1234" t="s">
        <v>2446</v>
      </c>
      <c r="J1234" t="s">
        <v>2465</v>
      </c>
      <c r="K1234" t="s">
        <v>2569</v>
      </c>
      <c r="M1234" t="s">
        <v>2616</v>
      </c>
    </row>
    <row r="1235" spans="1:13">
      <c r="A1235" s="1">
        <f>HYPERLINK("https://lsnyc.legalserver.org/matter/dynamic-profile/view/1886928","19-1886928")</f>
        <v>0</v>
      </c>
      <c r="B1235" t="s">
        <v>17</v>
      </c>
      <c r="C1235" t="s">
        <v>42</v>
      </c>
      <c r="D1235" t="s">
        <v>1040</v>
      </c>
      <c r="E1235" t="s">
        <v>2371</v>
      </c>
      <c r="F1235" t="s">
        <v>2437</v>
      </c>
      <c r="I1235" t="s">
        <v>2446</v>
      </c>
      <c r="J1235" t="s">
        <v>2465</v>
      </c>
      <c r="K1235" t="s">
        <v>2569</v>
      </c>
      <c r="M1235" t="s">
        <v>2612</v>
      </c>
    </row>
    <row r="1236" spans="1:13">
      <c r="A1236" s="1">
        <f>HYPERLINK("https://lsnyc.legalserver.org/matter/dynamic-profile/view/1887251","19-1887251")</f>
        <v>0</v>
      </c>
      <c r="B1236" t="s">
        <v>17</v>
      </c>
      <c r="C1236" t="s">
        <v>42</v>
      </c>
      <c r="D1236" t="s">
        <v>1041</v>
      </c>
      <c r="E1236" t="s">
        <v>2374</v>
      </c>
      <c r="F1236" t="s">
        <v>2438</v>
      </c>
      <c r="I1236" t="s">
        <v>2446</v>
      </c>
      <c r="J1236" t="s">
        <v>2465</v>
      </c>
      <c r="K1236" t="s">
        <v>2569</v>
      </c>
      <c r="M1236" t="s">
        <v>2616</v>
      </c>
    </row>
    <row r="1237" spans="1:13">
      <c r="A1237" s="1">
        <f>HYPERLINK("https://lsnyc.legalserver.org/matter/dynamic-profile/view/1886601","18-1886601")</f>
        <v>0</v>
      </c>
      <c r="B1237" t="s">
        <v>18</v>
      </c>
      <c r="C1237" t="s">
        <v>27</v>
      </c>
      <c r="D1237" t="s">
        <v>1042</v>
      </c>
      <c r="E1237" t="s">
        <v>2375</v>
      </c>
      <c r="F1237" t="s">
        <v>2439</v>
      </c>
      <c r="H1237" t="s">
        <v>2445</v>
      </c>
      <c r="J1237" t="s">
        <v>2488</v>
      </c>
      <c r="K1237" t="s">
        <v>2569</v>
      </c>
      <c r="L1237" t="s">
        <v>2602</v>
      </c>
      <c r="M1237" t="s">
        <v>2631</v>
      </c>
    </row>
    <row r="1238" spans="1:13">
      <c r="A1238" s="1">
        <f>HYPERLINK("https://lsnyc.legalserver.org/matter/dynamic-profile/view/1886553","18-1886553")</f>
        <v>0</v>
      </c>
      <c r="B1238" t="s">
        <v>16</v>
      </c>
      <c r="C1238" t="s">
        <v>46</v>
      </c>
      <c r="D1238" t="s">
        <v>604</v>
      </c>
      <c r="E1238" t="s">
        <v>2390</v>
      </c>
      <c r="F1238" t="s">
        <v>2437</v>
      </c>
      <c r="I1238" t="s">
        <v>2446</v>
      </c>
      <c r="J1238" t="s">
        <v>2448</v>
      </c>
      <c r="K1238" t="s">
        <v>2569</v>
      </c>
      <c r="M1238" t="s">
        <v>2619</v>
      </c>
    </row>
    <row r="1239" spans="1:13">
      <c r="A1239" s="1">
        <f>HYPERLINK("https://lsnyc.legalserver.org/matter/dynamic-profile/view/1886556","18-1886556")</f>
        <v>0</v>
      </c>
      <c r="B1239" t="s">
        <v>14</v>
      </c>
      <c r="C1239" t="s">
        <v>26</v>
      </c>
      <c r="D1239" t="s">
        <v>191</v>
      </c>
      <c r="E1239" t="s">
        <v>2391</v>
      </c>
      <c r="F1239" t="s">
        <v>2437</v>
      </c>
      <c r="I1239" t="s">
        <v>2446</v>
      </c>
      <c r="J1239" t="s">
        <v>2450</v>
      </c>
      <c r="K1239" t="s">
        <v>2569</v>
      </c>
      <c r="M1239" t="s">
        <v>2615</v>
      </c>
    </row>
    <row r="1240" spans="1:13">
      <c r="A1240" s="1">
        <f>HYPERLINK("https://lsnyc.legalserver.org/matter/dynamic-profile/view/1886608","18-1886608")</f>
        <v>0</v>
      </c>
      <c r="B1240" t="s">
        <v>16</v>
      </c>
      <c r="C1240" t="s">
        <v>46</v>
      </c>
      <c r="D1240" t="s">
        <v>1043</v>
      </c>
      <c r="E1240" t="s">
        <v>2390</v>
      </c>
      <c r="F1240" t="s">
        <v>2437</v>
      </c>
      <c r="I1240" t="s">
        <v>2446</v>
      </c>
      <c r="J1240" t="s">
        <v>2474</v>
      </c>
      <c r="K1240" t="s">
        <v>2579</v>
      </c>
      <c r="M1240" t="s">
        <v>2619</v>
      </c>
    </row>
    <row r="1241" spans="1:13">
      <c r="A1241" s="1">
        <f>HYPERLINK("https://lsnyc.legalserver.org/matter/dynamic-profile/view/1886525","18-1886525")</f>
        <v>0</v>
      </c>
      <c r="B1241" t="s">
        <v>18</v>
      </c>
      <c r="C1241" t="s">
        <v>27</v>
      </c>
      <c r="D1241" t="s">
        <v>1044</v>
      </c>
      <c r="E1241" t="s">
        <v>2393</v>
      </c>
      <c r="F1241" t="s">
        <v>2437</v>
      </c>
      <c r="I1241" t="s">
        <v>2446</v>
      </c>
      <c r="J1241" t="s">
        <v>2461</v>
      </c>
      <c r="K1241" t="s">
        <v>2574</v>
      </c>
      <c r="L1241" t="s">
        <v>2603</v>
      </c>
      <c r="M1241" t="s">
        <v>2637</v>
      </c>
    </row>
    <row r="1242" spans="1:13">
      <c r="A1242" s="1">
        <f>HYPERLINK("https://lsnyc.legalserver.org/matter/dynamic-profile/view/1886472","18-1886472")</f>
        <v>0</v>
      </c>
      <c r="B1242" t="s">
        <v>16</v>
      </c>
      <c r="C1242" t="s">
        <v>24</v>
      </c>
      <c r="D1242" t="s">
        <v>1045</v>
      </c>
      <c r="E1242" t="s">
        <v>2390</v>
      </c>
      <c r="F1242" t="s">
        <v>2440</v>
      </c>
      <c r="I1242" t="s">
        <v>2446</v>
      </c>
      <c r="J1242" t="s">
        <v>2448</v>
      </c>
      <c r="K1242" t="s">
        <v>2569</v>
      </c>
      <c r="M1242" t="s">
        <v>2631</v>
      </c>
    </row>
    <row r="1243" spans="1:13">
      <c r="A1243" s="1">
        <f>HYPERLINK("https://lsnyc.legalserver.org/matter/dynamic-profile/view/1886509","18-1886509")</f>
        <v>0</v>
      </c>
      <c r="B1243" t="s">
        <v>14</v>
      </c>
      <c r="C1243" t="s">
        <v>33</v>
      </c>
      <c r="D1243" t="s">
        <v>1046</v>
      </c>
      <c r="E1243" t="s">
        <v>2412</v>
      </c>
      <c r="F1243" t="s">
        <v>2437</v>
      </c>
      <c r="I1243" t="s">
        <v>2446</v>
      </c>
      <c r="J1243" t="s">
        <v>2457</v>
      </c>
      <c r="K1243" t="s">
        <v>2569</v>
      </c>
      <c r="M1243" t="s">
        <v>2616</v>
      </c>
    </row>
    <row r="1244" spans="1:13">
      <c r="A1244" s="1">
        <f>HYPERLINK("https://lsnyc.legalserver.org/matter/dynamic-profile/view/1886527","18-1886527")</f>
        <v>0</v>
      </c>
      <c r="B1244" t="s">
        <v>14</v>
      </c>
      <c r="C1244" t="s">
        <v>33</v>
      </c>
      <c r="D1244" t="s">
        <v>757</v>
      </c>
      <c r="E1244" t="s">
        <v>2385</v>
      </c>
      <c r="F1244" t="s">
        <v>2438</v>
      </c>
      <c r="I1244" t="s">
        <v>2446</v>
      </c>
      <c r="J1244" t="s">
        <v>2450</v>
      </c>
      <c r="K1244" t="s">
        <v>2569</v>
      </c>
      <c r="M1244" t="s">
        <v>2616</v>
      </c>
    </row>
    <row r="1245" spans="1:13">
      <c r="A1245" s="1">
        <f>HYPERLINK("https://lsnyc.legalserver.org/matter/dynamic-profile/view/1886528","18-1886528")</f>
        <v>0</v>
      </c>
      <c r="B1245" t="s">
        <v>14</v>
      </c>
      <c r="C1245" t="s">
        <v>33</v>
      </c>
      <c r="D1245" t="s">
        <v>1047</v>
      </c>
      <c r="E1245" t="s">
        <v>2412</v>
      </c>
      <c r="F1245" t="s">
        <v>2437</v>
      </c>
      <c r="I1245" t="s">
        <v>2446</v>
      </c>
      <c r="J1245" t="s">
        <v>2487</v>
      </c>
      <c r="K1245" t="s">
        <v>2572</v>
      </c>
      <c r="M1245" t="s">
        <v>2616</v>
      </c>
    </row>
    <row r="1246" spans="1:13">
      <c r="A1246" s="1">
        <f>HYPERLINK("https://lsnyc.legalserver.org/matter/dynamic-profile/view/1886429","18-1886429")</f>
        <v>0</v>
      </c>
      <c r="B1246" t="s">
        <v>18</v>
      </c>
      <c r="C1246" t="s">
        <v>27</v>
      </c>
      <c r="D1246" t="s">
        <v>648</v>
      </c>
      <c r="E1246" t="s">
        <v>2374</v>
      </c>
      <c r="F1246" t="s">
        <v>2438</v>
      </c>
      <c r="J1246" t="s">
        <v>2450</v>
      </c>
      <c r="K1246" t="s">
        <v>2569</v>
      </c>
      <c r="M1246" t="s">
        <v>2616</v>
      </c>
    </row>
    <row r="1247" spans="1:13">
      <c r="A1247" s="1">
        <f>HYPERLINK("https://lsnyc.legalserver.org/matter/dynamic-profile/view/1886394","18-1886394")</f>
        <v>0</v>
      </c>
      <c r="B1247" t="s">
        <v>19</v>
      </c>
      <c r="C1247" t="s">
        <v>54</v>
      </c>
      <c r="D1247" t="s">
        <v>1048</v>
      </c>
      <c r="E1247" t="s">
        <v>2391</v>
      </c>
      <c r="G1247" t="s">
        <v>2444</v>
      </c>
      <c r="J1247" t="s">
        <v>2457</v>
      </c>
      <c r="K1247" t="s">
        <v>2569</v>
      </c>
      <c r="L1247" t="s">
        <v>2601</v>
      </c>
      <c r="M1247" t="s">
        <v>2631</v>
      </c>
    </row>
    <row r="1248" spans="1:13">
      <c r="A1248" s="1">
        <f>HYPERLINK("https://lsnyc.legalserver.org/matter/dynamic-profile/view/1902576","19-1902576")</f>
        <v>0</v>
      </c>
      <c r="B1248" t="s">
        <v>19</v>
      </c>
      <c r="C1248" t="s">
        <v>54</v>
      </c>
      <c r="D1248" t="s">
        <v>1048</v>
      </c>
      <c r="E1248" t="s">
        <v>2391</v>
      </c>
      <c r="F1248" t="s">
        <v>2441</v>
      </c>
      <c r="I1248" t="s">
        <v>2446</v>
      </c>
      <c r="J1248" t="s">
        <v>2457</v>
      </c>
      <c r="K1248" t="s">
        <v>2569</v>
      </c>
      <c r="L1248" t="s">
        <v>2600</v>
      </c>
      <c r="M1248" t="s">
        <v>2615</v>
      </c>
    </row>
    <row r="1249" spans="1:13">
      <c r="A1249" s="1">
        <f>HYPERLINK("https://lsnyc.legalserver.org/matter/dynamic-profile/view/1886157","18-1886157")</f>
        <v>0</v>
      </c>
      <c r="B1249" t="s">
        <v>14</v>
      </c>
      <c r="C1249" t="s">
        <v>26</v>
      </c>
      <c r="D1249" t="s">
        <v>438</v>
      </c>
      <c r="E1249" t="s">
        <v>2403</v>
      </c>
      <c r="F1249" t="s">
        <v>2441</v>
      </c>
      <c r="I1249" t="s">
        <v>2446</v>
      </c>
      <c r="J1249" t="s">
        <v>2450</v>
      </c>
      <c r="K1249" t="s">
        <v>2569</v>
      </c>
      <c r="M1249" t="s">
        <v>2639</v>
      </c>
    </row>
    <row r="1250" spans="1:13">
      <c r="A1250" s="1">
        <f>HYPERLINK("https://lsnyc.legalserver.org/matter/dynamic-profile/view/1886214","18-1886214")</f>
        <v>0</v>
      </c>
      <c r="B1250" t="s">
        <v>14</v>
      </c>
      <c r="C1250" t="s">
        <v>26</v>
      </c>
      <c r="D1250" t="s">
        <v>1049</v>
      </c>
      <c r="E1250" t="s">
        <v>2385</v>
      </c>
      <c r="F1250" t="s">
        <v>2438</v>
      </c>
      <c r="I1250" t="s">
        <v>2446</v>
      </c>
      <c r="J1250" t="s">
        <v>2450</v>
      </c>
      <c r="K1250" t="s">
        <v>2569</v>
      </c>
      <c r="M1250" t="s">
        <v>2616</v>
      </c>
    </row>
    <row r="1251" spans="1:13">
      <c r="A1251" s="1">
        <f>HYPERLINK("https://lsnyc.legalserver.org/matter/dynamic-profile/view/1886292","18-1886292")</f>
        <v>0</v>
      </c>
      <c r="B1251" t="s">
        <v>14</v>
      </c>
      <c r="C1251" t="s">
        <v>26</v>
      </c>
      <c r="D1251" t="s">
        <v>1049</v>
      </c>
      <c r="E1251" t="s">
        <v>2391</v>
      </c>
      <c r="F1251" t="s">
        <v>2437</v>
      </c>
      <c r="I1251" t="s">
        <v>2446</v>
      </c>
      <c r="J1251" t="s">
        <v>2450</v>
      </c>
      <c r="K1251" t="s">
        <v>2569</v>
      </c>
      <c r="M1251" t="s">
        <v>2615</v>
      </c>
    </row>
    <row r="1252" spans="1:13">
      <c r="A1252" s="1">
        <f>HYPERLINK("https://lsnyc.legalserver.org/matter/dynamic-profile/view/1886058","18-1886058")</f>
        <v>0</v>
      </c>
      <c r="B1252" t="s">
        <v>16</v>
      </c>
      <c r="C1252" t="s">
        <v>24</v>
      </c>
      <c r="D1252" t="s">
        <v>1050</v>
      </c>
      <c r="E1252" t="s">
        <v>2390</v>
      </c>
      <c r="F1252" t="s">
        <v>2439</v>
      </c>
      <c r="I1252" t="s">
        <v>2446</v>
      </c>
      <c r="J1252" t="s">
        <v>2448</v>
      </c>
      <c r="K1252" t="s">
        <v>2569</v>
      </c>
      <c r="L1252" t="s">
        <v>2601</v>
      </c>
      <c r="M1252" t="s">
        <v>2631</v>
      </c>
    </row>
    <row r="1253" spans="1:13">
      <c r="A1253" s="1">
        <f>HYPERLINK("https://lsnyc.legalserver.org/matter/dynamic-profile/view/1886144","18-1886144")</f>
        <v>0</v>
      </c>
      <c r="B1253" t="s">
        <v>14</v>
      </c>
      <c r="C1253" t="s">
        <v>20</v>
      </c>
      <c r="D1253" t="s">
        <v>1051</v>
      </c>
      <c r="E1253" t="s">
        <v>2391</v>
      </c>
      <c r="F1253" t="s">
        <v>2437</v>
      </c>
      <c r="I1253" t="s">
        <v>2446</v>
      </c>
      <c r="J1253" t="s">
        <v>2450</v>
      </c>
      <c r="K1253" t="s">
        <v>2569</v>
      </c>
      <c r="L1253" t="s">
        <v>2600</v>
      </c>
      <c r="M1253" t="s">
        <v>2615</v>
      </c>
    </row>
    <row r="1254" spans="1:13">
      <c r="A1254" s="1">
        <f>HYPERLINK("https://lsnyc.legalserver.org/matter/dynamic-profile/view/1886147","18-1886147")</f>
        <v>0</v>
      </c>
      <c r="B1254" t="s">
        <v>16</v>
      </c>
      <c r="C1254" t="s">
        <v>46</v>
      </c>
      <c r="D1254" t="s">
        <v>1052</v>
      </c>
      <c r="E1254" t="s">
        <v>2390</v>
      </c>
      <c r="F1254" t="s">
        <v>2437</v>
      </c>
      <c r="I1254" t="s">
        <v>2446</v>
      </c>
      <c r="J1254" t="s">
        <v>2461</v>
      </c>
      <c r="K1254" t="s">
        <v>2572</v>
      </c>
      <c r="L1254" t="s">
        <v>2600</v>
      </c>
      <c r="M1254" t="s">
        <v>2619</v>
      </c>
    </row>
    <row r="1255" spans="1:13">
      <c r="A1255" s="1">
        <f>HYPERLINK("https://lsnyc.legalserver.org/matter/dynamic-profile/view/1886002","18-1886002")</f>
        <v>0</v>
      </c>
      <c r="B1255" t="s">
        <v>18</v>
      </c>
      <c r="C1255" t="s">
        <v>27</v>
      </c>
      <c r="D1255" t="s">
        <v>1053</v>
      </c>
      <c r="E1255" t="s">
        <v>2375</v>
      </c>
      <c r="F1255" t="s">
        <v>2439</v>
      </c>
      <c r="I1255" t="s">
        <v>2446</v>
      </c>
      <c r="J1255" t="s">
        <v>2471</v>
      </c>
      <c r="K1255" t="s">
        <v>2571</v>
      </c>
      <c r="L1255" t="s">
        <v>2602</v>
      </c>
      <c r="M1255" t="s">
        <v>2631</v>
      </c>
    </row>
    <row r="1256" spans="1:13">
      <c r="A1256" s="1">
        <f>HYPERLINK("https://lsnyc.legalserver.org/matter/dynamic-profile/view/1886047","18-1886047")</f>
        <v>0</v>
      </c>
      <c r="B1256" t="s">
        <v>18</v>
      </c>
      <c r="C1256" t="s">
        <v>27</v>
      </c>
      <c r="D1256" t="s">
        <v>1054</v>
      </c>
      <c r="E1256" t="s">
        <v>2375</v>
      </c>
      <c r="F1256" t="s">
        <v>2440</v>
      </c>
      <c r="I1256" t="s">
        <v>2446</v>
      </c>
      <c r="J1256" t="s">
        <v>2457</v>
      </c>
      <c r="K1256" t="s">
        <v>2569</v>
      </c>
      <c r="L1256" t="s">
        <v>2602</v>
      </c>
      <c r="M1256" t="s">
        <v>2631</v>
      </c>
    </row>
    <row r="1257" spans="1:13">
      <c r="A1257" s="1">
        <f>HYPERLINK("https://lsnyc.legalserver.org/matter/dynamic-profile/view/1886041","18-1886041")</f>
        <v>0</v>
      </c>
      <c r="B1257" t="s">
        <v>16</v>
      </c>
      <c r="C1257" t="s">
        <v>24</v>
      </c>
      <c r="D1257" t="s">
        <v>1055</v>
      </c>
      <c r="E1257" t="s">
        <v>2390</v>
      </c>
      <c r="F1257" t="s">
        <v>2439</v>
      </c>
      <c r="I1257" t="s">
        <v>2446</v>
      </c>
      <c r="J1257" t="s">
        <v>2448</v>
      </c>
      <c r="K1257" t="s">
        <v>2569</v>
      </c>
      <c r="L1257" t="s">
        <v>2601</v>
      </c>
      <c r="M1257" t="s">
        <v>2631</v>
      </c>
    </row>
    <row r="1258" spans="1:13">
      <c r="A1258" s="1">
        <f>HYPERLINK("https://lsnyc.legalserver.org/matter/dynamic-profile/view/1885935","18-1885935")</f>
        <v>0</v>
      </c>
      <c r="B1258" t="s">
        <v>16</v>
      </c>
      <c r="C1258" t="s">
        <v>67</v>
      </c>
      <c r="D1258" t="s">
        <v>1056</v>
      </c>
      <c r="E1258" t="s">
        <v>2390</v>
      </c>
      <c r="F1258" t="s">
        <v>2439</v>
      </c>
      <c r="I1258" t="s">
        <v>2446</v>
      </c>
      <c r="J1258" t="s">
        <v>2448</v>
      </c>
      <c r="K1258" t="s">
        <v>2572</v>
      </c>
      <c r="L1258" t="s">
        <v>2601</v>
      </c>
      <c r="M1258" t="s">
        <v>2631</v>
      </c>
    </row>
    <row r="1259" spans="1:13">
      <c r="A1259" s="1">
        <f>HYPERLINK("https://lsnyc.legalserver.org/matter/dynamic-profile/view/1881289","18-1881289")</f>
        <v>0</v>
      </c>
      <c r="B1259" t="s">
        <v>17</v>
      </c>
      <c r="C1259" t="s">
        <v>42</v>
      </c>
      <c r="D1259" t="s">
        <v>183</v>
      </c>
      <c r="E1259" t="s">
        <v>2375</v>
      </c>
      <c r="F1259" t="s">
        <v>2437</v>
      </c>
      <c r="I1259" t="s">
        <v>2446</v>
      </c>
      <c r="J1259" t="s">
        <v>2465</v>
      </c>
      <c r="K1259" t="s">
        <v>2569</v>
      </c>
      <c r="L1259" t="s">
        <v>2600</v>
      </c>
      <c r="M1259" t="s">
        <v>2617</v>
      </c>
    </row>
    <row r="1260" spans="1:13">
      <c r="A1260" s="1">
        <f>HYPERLINK("https://lsnyc.legalserver.org/matter/dynamic-profile/view/1885954","18-1885954")</f>
        <v>0</v>
      </c>
      <c r="B1260" t="s">
        <v>14</v>
      </c>
      <c r="C1260" t="s">
        <v>26</v>
      </c>
      <c r="D1260" t="s">
        <v>389</v>
      </c>
      <c r="E1260" t="s">
        <v>2403</v>
      </c>
      <c r="F1260" t="s">
        <v>2441</v>
      </c>
      <c r="I1260" t="s">
        <v>2446</v>
      </c>
      <c r="J1260" t="s">
        <v>2450</v>
      </c>
      <c r="K1260" t="s">
        <v>2569</v>
      </c>
      <c r="M1260" t="s">
        <v>2639</v>
      </c>
    </row>
    <row r="1261" spans="1:13">
      <c r="A1261" s="1">
        <f>HYPERLINK("https://lsnyc.legalserver.org/matter/dynamic-profile/view/1885960","18-1885960")</f>
        <v>0</v>
      </c>
      <c r="B1261" t="s">
        <v>14</v>
      </c>
      <c r="C1261" t="s">
        <v>26</v>
      </c>
      <c r="D1261" t="s">
        <v>266</v>
      </c>
      <c r="E1261" t="s">
        <v>2385</v>
      </c>
      <c r="F1261" t="s">
        <v>2438</v>
      </c>
      <c r="I1261" t="s">
        <v>2446</v>
      </c>
      <c r="J1261" t="s">
        <v>2450</v>
      </c>
      <c r="K1261" t="s">
        <v>2569</v>
      </c>
      <c r="M1261" t="s">
        <v>2616</v>
      </c>
    </row>
    <row r="1262" spans="1:13">
      <c r="A1262" s="1">
        <f>HYPERLINK("https://lsnyc.legalserver.org/matter/dynamic-profile/view/1885968","18-1885968")</f>
        <v>0</v>
      </c>
      <c r="B1262" t="s">
        <v>14</v>
      </c>
      <c r="C1262" t="s">
        <v>26</v>
      </c>
      <c r="D1262" t="s">
        <v>266</v>
      </c>
      <c r="E1262" t="s">
        <v>2391</v>
      </c>
      <c r="F1262" t="s">
        <v>2438</v>
      </c>
      <c r="I1262" t="s">
        <v>2446</v>
      </c>
      <c r="J1262" t="s">
        <v>2450</v>
      </c>
      <c r="K1262" t="s">
        <v>2569</v>
      </c>
      <c r="M1262" t="s">
        <v>2615</v>
      </c>
    </row>
    <row r="1263" spans="1:13">
      <c r="A1263" s="1">
        <f>HYPERLINK("https://lsnyc.legalserver.org/matter/dynamic-profile/view/1885996","18-1885996")</f>
        <v>0</v>
      </c>
      <c r="B1263" t="s">
        <v>14</v>
      </c>
      <c r="C1263" t="s">
        <v>26</v>
      </c>
      <c r="D1263" t="s">
        <v>265</v>
      </c>
      <c r="E1263" t="s">
        <v>2385</v>
      </c>
      <c r="F1263" t="s">
        <v>2438</v>
      </c>
      <c r="I1263" t="s">
        <v>2446</v>
      </c>
      <c r="J1263" t="s">
        <v>2450</v>
      </c>
      <c r="K1263" t="s">
        <v>2569</v>
      </c>
      <c r="M1263" t="s">
        <v>2616</v>
      </c>
    </row>
    <row r="1264" spans="1:13">
      <c r="A1264" s="1">
        <f>HYPERLINK("https://lsnyc.legalserver.org/matter/dynamic-profile/view/1885998","18-1885998")</f>
        <v>0</v>
      </c>
      <c r="B1264" t="s">
        <v>14</v>
      </c>
      <c r="C1264" t="s">
        <v>26</v>
      </c>
      <c r="D1264" t="s">
        <v>265</v>
      </c>
      <c r="E1264" t="s">
        <v>2391</v>
      </c>
      <c r="F1264" t="s">
        <v>2438</v>
      </c>
      <c r="I1264" t="s">
        <v>2446</v>
      </c>
      <c r="J1264" t="s">
        <v>2450</v>
      </c>
      <c r="K1264" t="s">
        <v>2569</v>
      </c>
      <c r="M1264" t="s">
        <v>2615</v>
      </c>
    </row>
    <row r="1265" spans="1:14">
      <c r="A1265" s="1">
        <f>HYPERLINK("https://lsnyc.legalserver.org/matter/dynamic-profile/view/1886026","18-1886026")</f>
        <v>0</v>
      </c>
      <c r="B1265" t="s">
        <v>16</v>
      </c>
      <c r="C1265" t="s">
        <v>46</v>
      </c>
      <c r="D1265" t="s">
        <v>600</v>
      </c>
      <c r="E1265" t="s">
        <v>2390</v>
      </c>
      <c r="F1265" t="s">
        <v>2437</v>
      </c>
      <c r="I1265" t="s">
        <v>2446</v>
      </c>
      <c r="J1265" t="s">
        <v>2454</v>
      </c>
      <c r="K1265" t="s">
        <v>2572</v>
      </c>
      <c r="L1265" t="s">
        <v>2600</v>
      </c>
      <c r="M1265" t="s">
        <v>2619</v>
      </c>
    </row>
    <row r="1266" spans="1:14">
      <c r="A1266" s="1">
        <f>HYPERLINK("https://lsnyc.legalserver.org/matter/dynamic-profile/view/1885869","18-1885869")</f>
        <v>0</v>
      </c>
      <c r="B1266" t="s">
        <v>19</v>
      </c>
      <c r="C1266" t="s">
        <v>62</v>
      </c>
      <c r="D1266" t="s">
        <v>1057</v>
      </c>
      <c r="E1266" t="s">
        <v>2374</v>
      </c>
      <c r="F1266" t="s">
        <v>2439</v>
      </c>
      <c r="I1266" t="s">
        <v>2446</v>
      </c>
      <c r="J1266" t="s">
        <v>2458</v>
      </c>
      <c r="K1266" t="s">
        <v>2569</v>
      </c>
      <c r="L1266" t="s">
        <v>2601</v>
      </c>
      <c r="M1266" t="s">
        <v>2631</v>
      </c>
    </row>
    <row r="1267" spans="1:14">
      <c r="A1267" s="1">
        <f>HYPERLINK("https://lsnyc.legalserver.org/matter/dynamic-profile/view/1885855","18-1885855")</f>
        <v>0</v>
      </c>
      <c r="B1267" t="s">
        <v>18</v>
      </c>
      <c r="C1267" t="s">
        <v>45</v>
      </c>
      <c r="D1267" t="s">
        <v>1058</v>
      </c>
      <c r="E1267" t="s">
        <v>2375</v>
      </c>
      <c r="F1267" t="s">
        <v>2439</v>
      </c>
      <c r="I1267" t="s">
        <v>2446</v>
      </c>
      <c r="J1267" t="s">
        <v>2530</v>
      </c>
      <c r="K1267" t="s">
        <v>2572</v>
      </c>
      <c r="L1267" t="s">
        <v>2601</v>
      </c>
      <c r="M1267" t="s">
        <v>2631</v>
      </c>
    </row>
    <row r="1268" spans="1:14">
      <c r="A1268" s="1">
        <f>HYPERLINK("https://lsnyc.legalserver.org/matter/dynamic-profile/view/1885866","18-1885866")</f>
        <v>0</v>
      </c>
      <c r="B1268" t="s">
        <v>15</v>
      </c>
      <c r="C1268" t="s">
        <v>30</v>
      </c>
      <c r="D1268" t="s">
        <v>1059</v>
      </c>
      <c r="E1268" t="s">
        <v>2406</v>
      </c>
      <c r="F1268" t="s">
        <v>2437</v>
      </c>
      <c r="J1268" t="s">
        <v>2457</v>
      </c>
      <c r="K1268" t="s">
        <v>2569</v>
      </c>
      <c r="M1268" t="s">
        <v>2642</v>
      </c>
    </row>
    <row r="1269" spans="1:14">
      <c r="A1269" s="1">
        <f>HYPERLINK("https://lsnyc.legalserver.org/matter/dynamic-profile/view/1885895","18-1885895")</f>
        <v>0</v>
      </c>
      <c r="B1269" t="s">
        <v>15</v>
      </c>
      <c r="C1269" t="s">
        <v>30</v>
      </c>
      <c r="D1269" t="s">
        <v>1059</v>
      </c>
      <c r="E1269" t="s">
        <v>2376</v>
      </c>
      <c r="F1269" t="s">
        <v>2437</v>
      </c>
      <c r="I1269" t="s">
        <v>2446</v>
      </c>
      <c r="J1269" t="s">
        <v>2447</v>
      </c>
      <c r="K1269" t="s">
        <v>2569</v>
      </c>
      <c r="M1269" t="s">
        <v>2618</v>
      </c>
    </row>
    <row r="1270" spans="1:14">
      <c r="A1270" s="1">
        <f>HYPERLINK("https://lsnyc.legalserver.org/matter/dynamic-profile/view/1885770","18-1885770")</f>
        <v>0</v>
      </c>
      <c r="B1270" t="s">
        <v>15</v>
      </c>
      <c r="C1270" t="s">
        <v>37</v>
      </c>
      <c r="D1270" t="s">
        <v>1060</v>
      </c>
      <c r="E1270" t="s">
        <v>2393</v>
      </c>
      <c r="F1270" t="s">
        <v>2437</v>
      </c>
      <c r="I1270" t="s">
        <v>2446</v>
      </c>
      <c r="J1270" t="s">
        <v>2467</v>
      </c>
      <c r="K1270" t="s">
        <v>2572</v>
      </c>
      <c r="L1270" t="s">
        <v>2600</v>
      </c>
      <c r="M1270" t="s">
        <v>2637</v>
      </c>
    </row>
    <row r="1271" spans="1:14">
      <c r="A1271" s="1">
        <f>HYPERLINK("https://lsnyc.legalserver.org/matter/dynamic-profile/view/1885759","18-1885759")</f>
        <v>0</v>
      </c>
      <c r="B1271" t="s">
        <v>16</v>
      </c>
      <c r="C1271" t="s">
        <v>24</v>
      </c>
      <c r="D1271" t="s">
        <v>1061</v>
      </c>
      <c r="E1271" t="s">
        <v>2390</v>
      </c>
      <c r="F1271" t="s">
        <v>2439</v>
      </c>
      <c r="I1271" t="s">
        <v>2446</v>
      </c>
      <c r="J1271" t="s">
        <v>2448</v>
      </c>
      <c r="K1271" t="s">
        <v>2569</v>
      </c>
      <c r="L1271" t="s">
        <v>2601</v>
      </c>
      <c r="M1271" t="s">
        <v>2631</v>
      </c>
    </row>
    <row r="1272" spans="1:14">
      <c r="A1272" s="1">
        <f>HYPERLINK("https://lsnyc.legalserver.org/matter/dynamic-profile/view/1885786","18-1885786")</f>
        <v>0</v>
      </c>
      <c r="B1272" t="s">
        <v>19</v>
      </c>
      <c r="C1272" t="s">
        <v>50</v>
      </c>
      <c r="D1272" t="s">
        <v>1062</v>
      </c>
      <c r="E1272" t="s">
        <v>2373</v>
      </c>
      <c r="F1272" t="s">
        <v>2441</v>
      </c>
      <c r="J1272" t="s">
        <v>2450</v>
      </c>
      <c r="K1272" t="s">
        <v>2569</v>
      </c>
      <c r="L1272" t="s">
        <v>2603</v>
      </c>
      <c r="M1272" t="s">
        <v>2615</v>
      </c>
      <c r="N1272" t="s">
        <v>2649</v>
      </c>
    </row>
    <row r="1273" spans="1:14">
      <c r="A1273" s="1">
        <f>HYPERLINK("https://lsnyc.legalserver.org/matter/dynamic-profile/view/1885787","18-1885787")</f>
        <v>0</v>
      </c>
      <c r="B1273" t="s">
        <v>19</v>
      </c>
      <c r="C1273" t="s">
        <v>50</v>
      </c>
      <c r="D1273" t="s">
        <v>1063</v>
      </c>
      <c r="E1273" t="s">
        <v>2373</v>
      </c>
      <c r="F1273" t="s">
        <v>2441</v>
      </c>
      <c r="J1273" t="s">
        <v>2450</v>
      </c>
      <c r="K1273" t="s">
        <v>2569</v>
      </c>
      <c r="L1273" t="s">
        <v>2603</v>
      </c>
      <c r="M1273" t="s">
        <v>2615</v>
      </c>
    </row>
    <row r="1274" spans="1:14">
      <c r="A1274" s="1">
        <f>HYPERLINK("https://lsnyc.legalserver.org/matter/dynamic-profile/view/1885760","18-1885760")</f>
        <v>0</v>
      </c>
      <c r="B1274" t="s">
        <v>16</v>
      </c>
      <c r="C1274" t="s">
        <v>46</v>
      </c>
      <c r="D1274" t="s">
        <v>551</v>
      </c>
      <c r="E1274" t="s">
        <v>2390</v>
      </c>
      <c r="F1274" t="s">
        <v>2437</v>
      </c>
      <c r="I1274" t="s">
        <v>2446</v>
      </c>
      <c r="J1274" t="s">
        <v>2490</v>
      </c>
      <c r="K1274" t="s">
        <v>2572</v>
      </c>
      <c r="M1274" t="s">
        <v>2619</v>
      </c>
    </row>
    <row r="1275" spans="1:14">
      <c r="A1275" s="1">
        <f>HYPERLINK("https://lsnyc.legalserver.org/matter/dynamic-profile/view/1885784","18-1885784")</f>
        <v>0</v>
      </c>
      <c r="B1275" t="s">
        <v>19</v>
      </c>
      <c r="C1275" t="s">
        <v>50</v>
      </c>
      <c r="D1275" t="s">
        <v>1062</v>
      </c>
      <c r="E1275" t="s">
        <v>2391</v>
      </c>
      <c r="F1275" t="s">
        <v>2437</v>
      </c>
      <c r="J1275" t="s">
        <v>2450</v>
      </c>
      <c r="K1275" t="s">
        <v>2569</v>
      </c>
      <c r="L1275" t="s">
        <v>2600</v>
      </c>
      <c r="M1275" t="s">
        <v>2615</v>
      </c>
      <c r="N1275" t="s">
        <v>2649</v>
      </c>
    </row>
    <row r="1276" spans="1:14">
      <c r="A1276" s="1">
        <f>HYPERLINK("https://lsnyc.legalserver.org/matter/dynamic-profile/view/1885785","18-1885785")</f>
        <v>0</v>
      </c>
      <c r="B1276" t="s">
        <v>19</v>
      </c>
      <c r="C1276" t="s">
        <v>50</v>
      </c>
      <c r="D1276" t="s">
        <v>1063</v>
      </c>
      <c r="E1276" t="s">
        <v>2391</v>
      </c>
      <c r="F1276" t="s">
        <v>2437</v>
      </c>
      <c r="J1276" t="s">
        <v>2450</v>
      </c>
      <c r="K1276" t="s">
        <v>2569</v>
      </c>
      <c r="L1276" t="s">
        <v>2600</v>
      </c>
      <c r="M1276" t="s">
        <v>2615</v>
      </c>
      <c r="N1276" t="s">
        <v>2649</v>
      </c>
    </row>
    <row r="1277" spans="1:14">
      <c r="A1277" s="1">
        <f>HYPERLINK("https://lsnyc.legalserver.org/matter/dynamic-profile/view/1885556","18-1885556")</f>
        <v>0</v>
      </c>
      <c r="B1277" t="s">
        <v>16</v>
      </c>
      <c r="C1277" t="s">
        <v>24</v>
      </c>
      <c r="D1277" t="s">
        <v>1064</v>
      </c>
      <c r="E1277" t="s">
        <v>2375</v>
      </c>
      <c r="F1277" t="s">
        <v>2439</v>
      </c>
      <c r="I1277" t="s">
        <v>2446</v>
      </c>
      <c r="J1277" t="s">
        <v>2531</v>
      </c>
      <c r="K1277" t="s">
        <v>2572</v>
      </c>
      <c r="L1277" t="s">
        <v>2601</v>
      </c>
      <c r="M1277" t="s">
        <v>2631</v>
      </c>
    </row>
    <row r="1278" spans="1:14">
      <c r="A1278" s="1">
        <f>HYPERLINK("https://lsnyc.legalserver.org/matter/dynamic-profile/view/1885597","18-1885597")</f>
        <v>0</v>
      </c>
      <c r="B1278" t="s">
        <v>16</v>
      </c>
      <c r="C1278" t="s">
        <v>24</v>
      </c>
      <c r="D1278" t="s">
        <v>1065</v>
      </c>
      <c r="E1278" t="s">
        <v>2390</v>
      </c>
      <c r="F1278" t="s">
        <v>2439</v>
      </c>
      <c r="I1278" t="s">
        <v>2446</v>
      </c>
      <c r="J1278" t="s">
        <v>2477</v>
      </c>
      <c r="K1278" t="s">
        <v>2572</v>
      </c>
      <c r="L1278" t="s">
        <v>2601</v>
      </c>
      <c r="M1278" t="s">
        <v>2631</v>
      </c>
    </row>
    <row r="1279" spans="1:14">
      <c r="A1279" s="1">
        <f>HYPERLINK("https://lsnyc.legalserver.org/matter/dynamic-profile/view/1885658","18-1885658")</f>
        <v>0</v>
      </c>
      <c r="B1279" t="s">
        <v>16</v>
      </c>
      <c r="C1279" t="s">
        <v>24</v>
      </c>
      <c r="D1279" t="s">
        <v>1066</v>
      </c>
      <c r="E1279" t="s">
        <v>2390</v>
      </c>
      <c r="F1279" t="s">
        <v>2439</v>
      </c>
      <c r="I1279" t="s">
        <v>2446</v>
      </c>
      <c r="J1279" t="s">
        <v>2464</v>
      </c>
      <c r="K1279" t="s">
        <v>2572</v>
      </c>
      <c r="L1279" t="s">
        <v>2601</v>
      </c>
      <c r="M1279" t="s">
        <v>2631</v>
      </c>
    </row>
    <row r="1280" spans="1:14">
      <c r="A1280" s="1">
        <f>HYPERLINK("https://lsnyc.legalserver.org/matter/dynamic-profile/view/1885538","18-1885538")</f>
        <v>0</v>
      </c>
      <c r="B1280" t="s">
        <v>16</v>
      </c>
      <c r="C1280" t="s">
        <v>46</v>
      </c>
      <c r="D1280" t="s">
        <v>1067</v>
      </c>
      <c r="E1280" t="s">
        <v>2393</v>
      </c>
      <c r="F1280" t="s">
        <v>2437</v>
      </c>
      <c r="I1280" t="s">
        <v>2446</v>
      </c>
      <c r="J1280" t="s">
        <v>2467</v>
      </c>
      <c r="L1280" t="s">
        <v>2600</v>
      </c>
      <c r="M1280" t="s">
        <v>2637</v>
      </c>
    </row>
    <row r="1281" spans="1:14">
      <c r="A1281" s="1">
        <f>HYPERLINK("https://lsnyc.legalserver.org/matter/dynamic-profile/view/1885542","18-1885542")</f>
        <v>0</v>
      </c>
      <c r="B1281" t="s">
        <v>14</v>
      </c>
      <c r="C1281" t="s">
        <v>20</v>
      </c>
      <c r="D1281" t="s">
        <v>1068</v>
      </c>
      <c r="E1281" t="s">
        <v>2385</v>
      </c>
      <c r="F1281" t="s">
        <v>2438</v>
      </c>
      <c r="I1281" t="s">
        <v>2446</v>
      </c>
      <c r="J1281" t="s">
        <v>2457</v>
      </c>
      <c r="K1281" t="s">
        <v>2569</v>
      </c>
      <c r="L1281" t="s">
        <v>2600</v>
      </c>
      <c r="M1281" t="s">
        <v>2616</v>
      </c>
    </row>
    <row r="1282" spans="1:14">
      <c r="A1282" s="1">
        <f>HYPERLINK("https://lsnyc.legalserver.org/matter/dynamic-profile/view/1885565","18-1885565")</f>
        <v>0</v>
      </c>
      <c r="B1282" t="s">
        <v>17</v>
      </c>
      <c r="C1282" t="s">
        <v>25</v>
      </c>
      <c r="D1282" t="s">
        <v>1069</v>
      </c>
      <c r="E1282" t="s">
        <v>2375</v>
      </c>
      <c r="F1282" t="s">
        <v>2437</v>
      </c>
      <c r="I1282" t="s">
        <v>2446</v>
      </c>
      <c r="J1282" t="s">
        <v>2457</v>
      </c>
      <c r="K1282" t="s">
        <v>2569</v>
      </c>
      <c r="M1282" t="s">
        <v>2617</v>
      </c>
    </row>
    <row r="1283" spans="1:14">
      <c r="A1283" s="1">
        <f>HYPERLINK("https://lsnyc.legalserver.org/matter/dynamic-profile/view/1885609","18-1885609")</f>
        <v>0</v>
      </c>
      <c r="B1283" t="s">
        <v>16</v>
      </c>
      <c r="C1283" t="s">
        <v>46</v>
      </c>
      <c r="D1283" t="s">
        <v>1070</v>
      </c>
      <c r="E1283" t="s">
        <v>2390</v>
      </c>
      <c r="F1283" t="s">
        <v>2437</v>
      </c>
      <c r="I1283" t="s">
        <v>2446</v>
      </c>
      <c r="J1283" t="s">
        <v>2455</v>
      </c>
      <c r="K1283" t="s">
        <v>2569</v>
      </c>
      <c r="M1283" t="s">
        <v>2619</v>
      </c>
    </row>
    <row r="1284" spans="1:14">
      <c r="A1284" s="1">
        <f>HYPERLINK("https://lsnyc.legalserver.org/matter/dynamic-profile/view/1885617","18-1885617")</f>
        <v>0</v>
      </c>
      <c r="B1284" t="s">
        <v>16</v>
      </c>
      <c r="C1284" t="s">
        <v>23</v>
      </c>
      <c r="D1284" t="s">
        <v>1071</v>
      </c>
      <c r="E1284" t="s">
        <v>2390</v>
      </c>
      <c r="F1284" t="s">
        <v>2437</v>
      </c>
      <c r="I1284" t="s">
        <v>2446</v>
      </c>
      <c r="J1284" t="s">
        <v>2448</v>
      </c>
      <c r="K1284" t="s">
        <v>2569</v>
      </c>
      <c r="M1284" t="s">
        <v>2619</v>
      </c>
    </row>
    <row r="1285" spans="1:14">
      <c r="A1285" s="1">
        <f>HYPERLINK("https://lsnyc.legalserver.org/matter/dynamic-profile/view/1885629","18-1885629")</f>
        <v>0</v>
      </c>
      <c r="B1285" t="s">
        <v>15</v>
      </c>
      <c r="C1285" t="s">
        <v>32</v>
      </c>
      <c r="D1285" t="s">
        <v>439</v>
      </c>
      <c r="E1285" t="s">
        <v>2391</v>
      </c>
      <c r="F1285" t="s">
        <v>2437</v>
      </c>
      <c r="J1285" t="s">
        <v>2450</v>
      </c>
      <c r="K1285" t="s">
        <v>2569</v>
      </c>
      <c r="M1285" t="s">
        <v>2615</v>
      </c>
    </row>
    <row r="1286" spans="1:14">
      <c r="A1286" s="1">
        <f>HYPERLINK("https://lsnyc.legalserver.org/matter/dynamic-profile/view/1885417","18-1885417")</f>
        <v>0</v>
      </c>
      <c r="B1286" t="s">
        <v>16</v>
      </c>
      <c r="C1286" t="s">
        <v>23</v>
      </c>
      <c r="D1286" t="s">
        <v>509</v>
      </c>
      <c r="E1286" t="s">
        <v>2390</v>
      </c>
      <c r="F1286" t="s">
        <v>2437</v>
      </c>
      <c r="I1286" t="s">
        <v>2446</v>
      </c>
      <c r="J1286" t="s">
        <v>2447</v>
      </c>
      <c r="K1286" t="s">
        <v>2572</v>
      </c>
      <c r="M1286" t="s">
        <v>2619</v>
      </c>
    </row>
    <row r="1287" spans="1:14">
      <c r="A1287" s="1">
        <f>HYPERLINK("https://lsnyc.legalserver.org/matter/dynamic-profile/view/1885428","18-1885428")</f>
        <v>0</v>
      </c>
      <c r="B1287" t="s">
        <v>18</v>
      </c>
      <c r="C1287" t="s">
        <v>27</v>
      </c>
      <c r="D1287" t="s">
        <v>572</v>
      </c>
      <c r="E1287" t="s">
        <v>2374</v>
      </c>
      <c r="F1287" t="s">
        <v>2438</v>
      </c>
      <c r="J1287" t="s">
        <v>2450</v>
      </c>
      <c r="K1287" t="s">
        <v>2569</v>
      </c>
      <c r="M1287" t="s">
        <v>2616</v>
      </c>
    </row>
    <row r="1288" spans="1:14">
      <c r="A1288" s="1">
        <f>HYPERLINK("https://lsnyc.legalserver.org/matter/dynamic-profile/view/1885441","18-1885441")</f>
        <v>0</v>
      </c>
      <c r="B1288" t="s">
        <v>16</v>
      </c>
      <c r="C1288" t="s">
        <v>23</v>
      </c>
      <c r="D1288" t="s">
        <v>1072</v>
      </c>
      <c r="E1288" t="s">
        <v>2381</v>
      </c>
      <c r="F1288" t="s">
        <v>2437</v>
      </c>
      <c r="I1288" t="s">
        <v>2446</v>
      </c>
      <c r="J1288" t="s">
        <v>2448</v>
      </c>
      <c r="M1288" t="s">
        <v>2622</v>
      </c>
    </row>
    <row r="1289" spans="1:14">
      <c r="A1289" s="1">
        <f>HYPERLINK("https://lsnyc.legalserver.org/matter/dynamic-profile/view/1885514","18-1885514")</f>
        <v>0</v>
      </c>
      <c r="B1289" t="s">
        <v>14</v>
      </c>
      <c r="C1289" t="s">
        <v>26</v>
      </c>
      <c r="D1289" t="s">
        <v>396</v>
      </c>
      <c r="E1289" t="s">
        <v>2385</v>
      </c>
      <c r="F1289" t="s">
        <v>2438</v>
      </c>
      <c r="I1289" t="s">
        <v>2446</v>
      </c>
      <c r="J1289" t="s">
        <v>2450</v>
      </c>
      <c r="K1289" t="s">
        <v>2569</v>
      </c>
      <c r="M1289" t="s">
        <v>2616</v>
      </c>
    </row>
    <row r="1290" spans="1:14">
      <c r="A1290" s="1">
        <f>HYPERLINK("https://lsnyc.legalserver.org/matter/dynamic-profile/view/1885516","18-1885516")</f>
        <v>0</v>
      </c>
      <c r="B1290" t="s">
        <v>14</v>
      </c>
      <c r="C1290" t="s">
        <v>21</v>
      </c>
      <c r="D1290" t="s">
        <v>1073</v>
      </c>
      <c r="E1290" t="s">
        <v>2391</v>
      </c>
      <c r="F1290" t="s">
        <v>2441</v>
      </c>
      <c r="G1290" t="s">
        <v>2444</v>
      </c>
      <c r="I1290" t="s">
        <v>2446</v>
      </c>
      <c r="J1290" t="s">
        <v>2450</v>
      </c>
      <c r="K1290" t="s">
        <v>2569</v>
      </c>
      <c r="L1290" t="s">
        <v>2600</v>
      </c>
      <c r="M1290" t="s">
        <v>2615</v>
      </c>
      <c r="N1290" t="s">
        <v>2649</v>
      </c>
    </row>
    <row r="1291" spans="1:14">
      <c r="A1291" s="1">
        <f>HYPERLINK("https://lsnyc.legalserver.org/matter/dynamic-profile/view/1885518","18-1885518")</f>
        <v>0</v>
      </c>
      <c r="B1291" t="s">
        <v>14</v>
      </c>
      <c r="C1291" t="s">
        <v>21</v>
      </c>
      <c r="D1291" t="s">
        <v>1073</v>
      </c>
      <c r="E1291" t="s">
        <v>2376</v>
      </c>
      <c r="F1291" t="s">
        <v>2437</v>
      </c>
      <c r="G1291" t="s">
        <v>2444</v>
      </c>
      <c r="I1291" t="s">
        <v>2446</v>
      </c>
      <c r="J1291" t="s">
        <v>2450</v>
      </c>
      <c r="K1291" t="s">
        <v>2569</v>
      </c>
      <c r="L1291" t="s">
        <v>2600</v>
      </c>
      <c r="M1291" t="s">
        <v>2618</v>
      </c>
      <c r="N1291" t="s">
        <v>2649</v>
      </c>
    </row>
    <row r="1292" spans="1:14">
      <c r="A1292" s="1">
        <f>HYPERLINK("https://lsnyc.legalserver.org/matter/dynamic-profile/view/1885524","18-1885524")</f>
        <v>0</v>
      </c>
      <c r="B1292" t="s">
        <v>16</v>
      </c>
      <c r="C1292" t="s">
        <v>23</v>
      </c>
      <c r="D1292" t="s">
        <v>1074</v>
      </c>
      <c r="E1292" t="s">
        <v>2375</v>
      </c>
      <c r="F1292" t="s">
        <v>2437</v>
      </c>
      <c r="G1292" t="s">
        <v>2444</v>
      </c>
      <c r="I1292" t="s">
        <v>2446</v>
      </c>
      <c r="J1292" t="s">
        <v>2471</v>
      </c>
      <c r="K1292" t="s">
        <v>2571</v>
      </c>
      <c r="M1292" t="s">
        <v>2617</v>
      </c>
    </row>
    <row r="1293" spans="1:14">
      <c r="A1293" s="1">
        <f>HYPERLINK("https://lsnyc.legalserver.org/matter/dynamic-profile/view/1880318","18-1880318")</f>
        <v>0</v>
      </c>
      <c r="B1293" t="s">
        <v>15</v>
      </c>
      <c r="C1293" t="s">
        <v>30</v>
      </c>
      <c r="D1293" t="s">
        <v>1075</v>
      </c>
      <c r="E1293" t="s">
        <v>2375</v>
      </c>
      <c r="G1293" t="s">
        <v>2444</v>
      </c>
      <c r="H1293" t="s">
        <v>2445</v>
      </c>
      <c r="J1293" t="s">
        <v>2450</v>
      </c>
      <c r="K1293" t="s">
        <v>2569</v>
      </c>
      <c r="M1293" t="s">
        <v>2617</v>
      </c>
    </row>
    <row r="1294" spans="1:14">
      <c r="A1294" s="1">
        <f>HYPERLINK("https://lsnyc.legalserver.org/matter/dynamic-profile/view/1885354","18-1885354")</f>
        <v>0</v>
      </c>
      <c r="B1294" t="s">
        <v>19</v>
      </c>
      <c r="C1294" t="s">
        <v>48</v>
      </c>
      <c r="D1294" t="s">
        <v>443</v>
      </c>
      <c r="E1294" t="s">
        <v>2387</v>
      </c>
      <c r="F1294" t="s">
        <v>2437</v>
      </c>
      <c r="J1294" t="s">
        <v>2457</v>
      </c>
      <c r="K1294" t="s">
        <v>2572</v>
      </c>
      <c r="L1294" t="s">
        <v>2600</v>
      </c>
      <c r="M1294" t="s">
        <v>2629</v>
      </c>
    </row>
    <row r="1295" spans="1:14">
      <c r="A1295" s="1">
        <f>HYPERLINK("https://lsnyc.legalserver.org/matter/dynamic-profile/view/1885360","18-1885360")</f>
        <v>0</v>
      </c>
      <c r="B1295" t="s">
        <v>15</v>
      </c>
      <c r="C1295" t="s">
        <v>30</v>
      </c>
      <c r="D1295" t="s">
        <v>1076</v>
      </c>
      <c r="E1295" t="s">
        <v>2375</v>
      </c>
      <c r="F1295" t="s">
        <v>2437</v>
      </c>
      <c r="I1295" t="s">
        <v>2446</v>
      </c>
      <c r="J1295" t="s">
        <v>2487</v>
      </c>
      <c r="K1295" t="s">
        <v>2582</v>
      </c>
      <c r="M1295" t="s">
        <v>2617</v>
      </c>
    </row>
    <row r="1296" spans="1:14">
      <c r="A1296" s="1">
        <f>HYPERLINK("https://lsnyc.legalserver.org/matter/dynamic-profile/view/1885389","18-1885389")</f>
        <v>0</v>
      </c>
      <c r="B1296" t="s">
        <v>14</v>
      </c>
      <c r="C1296" t="s">
        <v>21</v>
      </c>
      <c r="D1296" t="s">
        <v>1077</v>
      </c>
      <c r="E1296" t="s">
        <v>2371</v>
      </c>
      <c r="F1296" t="s">
        <v>2437</v>
      </c>
      <c r="G1296" t="s">
        <v>2444</v>
      </c>
      <c r="I1296" t="s">
        <v>2446</v>
      </c>
      <c r="J1296" t="s">
        <v>2452</v>
      </c>
      <c r="K1296" t="s">
        <v>2572</v>
      </c>
      <c r="L1296" t="s">
        <v>2600</v>
      </c>
      <c r="M1296" t="s">
        <v>2612</v>
      </c>
      <c r="N1296" t="s">
        <v>2648</v>
      </c>
    </row>
    <row r="1297" spans="1:13">
      <c r="A1297" s="1">
        <f>HYPERLINK("https://lsnyc.legalserver.org/matter/dynamic-profile/view/1885318","18-1885318")</f>
        <v>0</v>
      </c>
      <c r="B1297" t="s">
        <v>15</v>
      </c>
      <c r="C1297" t="s">
        <v>37</v>
      </c>
      <c r="D1297" t="s">
        <v>1078</v>
      </c>
      <c r="E1297" t="s">
        <v>2378</v>
      </c>
      <c r="F1297" t="s">
        <v>2439</v>
      </c>
      <c r="I1297" t="s">
        <v>2446</v>
      </c>
      <c r="J1297" t="s">
        <v>2502</v>
      </c>
      <c r="K1297" t="s">
        <v>2578</v>
      </c>
      <c r="L1297" t="s">
        <v>2602</v>
      </c>
      <c r="M1297" t="s">
        <v>2631</v>
      </c>
    </row>
    <row r="1298" spans="1:13">
      <c r="A1298" s="1">
        <f>HYPERLINK("https://lsnyc.legalserver.org/matter/dynamic-profile/view/1880348","18-1880348")</f>
        <v>0</v>
      </c>
      <c r="B1298" t="s">
        <v>15</v>
      </c>
      <c r="C1298" t="s">
        <v>30</v>
      </c>
      <c r="D1298" t="s">
        <v>1079</v>
      </c>
      <c r="E1298" t="s">
        <v>2370</v>
      </c>
      <c r="F1298" t="s">
        <v>2437</v>
      </c>
      <c r="G1298" t="s">
        <v>2444</v>
      </c>
      <c r="J1298" t="s">
        <v>2457</v>
      </c>
      <c r="K1298" t="s">
        <v>2572</v>
      </c>
      <c r="M1298" t="s">
        <v>2638</v>
      </c>
    </row>
    <row r="1299" spans="1:13">
      <c r="A1299" s="1">
        <f>HYPERLINK("https://lsnyc.legalserver.org/matter/dynamic-profile/view/1885253","18-1885253")</f>
        <v>0</v>
      </c>
      <c r="B1299" t="s">
        <v>15</v>
      </c>
      <c r="C1299" t="s">
        <v>70</v>
      </c>
      <c r="D1299" t="s">
        <v>1080</v>
      </c>
      <c r="E1299" t="s">
        <v>2371</v>
      </c>
      <c r="F1299" t="s">
        <v>2437</v>
      </c>
      <c r="J1299" t="s">
        <v>2455</v>
      </c>
      <c r="K1299" t="s">
        <v>2572</v>
      </c>
      <c r="M1299" t="s">
        <v>2612</v>
      </c>
    </row>
    <row r="1300" spans="1:13">
      <c r="A1300" s="1">
        <f>HYPERLINK("https://lsnyc.legalserver.org/matter/dynamic-profile/view/1885287","18-1885287")</f>
        <v>0</v>
      </c>
      <c r="B1300" t="s">
        <v>16</v>
      </c>
      <c r="C1300" t="s">
        <v>23</v>
      </c>
      <c r="D1300" t="s">
        <v>524</v>
      </c>
      <c r="E1300" t="s">
        <v>2390</v>
      </c>
      <c r="F1300" t="s">
        <v>2437</v>
      </c>
      <c r="I1300" t="s">
        <v>2446</v>
      </c>
      <c r="J1300" t="s">
        <v>2448</v>
      </c>
      <c r="K1300" t="s">
        <v>2569</v>
      </c>
      <c r="M1300" t="s">
        <v>2619</v>
      </c>
    </row>
    <row r="1301" spans="1:13">
      <c r="A1301" s="1">
        <f>HYPERLINK("https://lsnyc.legalserver.org/matter/dynamic-profile/view/1885296","18-1885296")</f>
        <v>0</v>
      </c>
      <c r="B1301" t="s">
        <v>17</v>
      </c>
      <c r="C1301" t="s">
        <v>56</v>
      </c>
      <c r="D1301" t="s">
        <v>1081</v>
      </c>
      <c r="E1301" t="s">
        <v>2406</v>
      </c>
      <c r="F1301" t="s">
        <v>2437</v>
      </c>
      <c r="I1301" t="s">
        <v>2446</v>
      </c>
      <c r="J1301" t="s">
        <v>2457</v>
      </c>
      <c r="K1301" t="s">
        <v>2569</v>
      </c>
      <c r="L1301" t="s">
        <v>2600</v>
      </c>
      <c r="M1301" t="s">
        <v>2642</v>
      </c>
    </row>
    <row r="1302" spans="1:13">
      <c r="A1302" s="1">
        <f>HYPERLINK("https://lsnyc.legalserver.org/matter/dynamic-profile/view/1885298","18-1885298")</f>
        <v>0</v>
      </c>
      <c r="B1302" t="s">
        <v>16</v>
      </c>
      <c r="C1302" t="s">
        <v>23</v>
      </c>
      <c r="D1302" t="s">
        <v>1082</v>
      </c>
      <c r="E1302" t="s">
        <v>2375</v>
      </c>
      <c r="F1302" t="s">
        <v>2437</v>
      </c>
      <c r="I1302" t="s">
        <v>2446</v>
      </c>
      <c r="J1302" t="s">
        <v>2457</v>
      </c>
      <c r="K1302" t="s">
        <v>2569</v>
      </c>
      <c r="M1302" t="s">
        <v>2617</v>
      </c>
    </row>
    <row r="1303" spans="1:13">
      <c r="A1303" s="1">
        <f>HYPERLINK("https://lsnyc.legalserver.org/matter/dynamic-profile/view/1887159","19-1887159")</f>
        <v>0</v>
      </c>
      <c r="B1303" t="s">
        <v>19</v>
      </c>
      <c r="C1303" t="s">
        <v>50</v>
      </c>
      <c r="D1303" t="s">
        <v>1083</v>
      </c>
      <c r="E1303" t="s">
        <v>2415</v>
      </c>
      <c r="F1303" t="s">
        <v>2437</v>
      </c>
      <c r="I1303" t="s">
        <v>2446</v>
      </c>
      <c r="J1303" t="s">
        <v>2452</v>
      </c>
      <c r="K1303" t="s">
        <v>2572</v>
      </c>
      <c r="L1303" t="s">
        <v>2600</v>
      </c>
      <c r="M1303" t="s">
        <v>2630</v>
      </c>
    </row>
    <row r="1304" spans="1:13">
      <c r="A1304" s="1">
        <f>HYPERLINK("https://lsnyc.legalserver.org/matter/dynamic-profile/view/1885089","18-1885089")</f>
        <v>0</v>
      </c>
      <c r="B1304" t="s">
        <v>15</v>
      </c>
      <c r="C1304" t="s">
        <v>37</v>
      </c>
      <c r="D1304" t="s">
        <v>1084</v>
      </c>
      <c r="E1304" t="s">
        <v>2393</v>
      </c>
      <c r="F1304" t="s">
        <v>2437</v>
      </c>
      <c r="I1304" t="s">
        <v>2446</v>
      </c>
      <c r="J1304" t="s">
        <v>2455</v>
      </c>
      <c r="K1304" t="s">
        <v>2569</v>
      </c>
      <c r="L1304" t="s">
        <v>2603</v>
      </c>
      <c r="M1304" t="s">
        <v>2637</v>
      </c>
    </row>
    <row r="1305" spans="1:13">
      <c r="A1305" s="1">
        <f>HYPERLINK("https://lsnyc.legalserver.org/matter/dynamic-profile/view/1885101","18-1885101")</f>
        <v>0</v>
      </c>
      <c r="B1305" t="s">
        <v>15</v>
      </c>
      <c r="C1305" t="s">
        <v>37</v>
      </c>
      <c r="D1305" t="s">
        <v>1084</v>
      </c>
      <c r="E1305" t="s">
        <v>2376</v>
      </c>
      <c r="F1305" t="s">
        <v>2437</v>
      </c>
      <c r="I1305" t="s">
        <v>2446</v>
      </c>
      <c r="J1305" t="s">
        <v>2455</v>
      </c>
      <c r="K1305" t="s">
        <v>2569</v>
      </c>
      <c r="L1305" t="s">
        <v>2600</v>
      </c>
      <c r="M1305" t="s">
        <v>2618</v>
      </c>
    </row>
    <row r="1306" spans="1:13">
      <c r="A1306" s="1">
        <f>HYPERLINK("https://lsnyc.legalserver.org/matter/dynamic-profile/view/1885105","18-1885105")</f>
        <v>0</v>
      </c>
      <c r="B1306" t="s">
        <v>18</v>
      </c>
      <c r="C1306" t="s">
        <v>45</v>
      </c>
      <c r="D1306" t="s">
        <v>263</v>
      </c>
      <c r="E1306" t="s">
        <v>2374</v>
      </c>
      <c r="F1306" t="s">
        <v>2439</v>
      </c>
      <c r="I1306" t="s">
        <v>2446</v>
      </c>
      <c r="J1306" t="s">
        <v>2481</v>
      </c>
      <c r="K1306" t="s">
        <v>2569</v>
      </c>
      <c r="M1306" t="s">
        <v>2631</v>
      </c>
    </row>
    <row r="1307" spans="1:13">
      <c r="A1307" s="1">
        <f>HYPERLINK("https://lsnyc.legalserver.org/matter/dynamic-profile/view/1885150","18-1885150")</f>
        <v>0</v>
      </c>
      <c r="B1307" t="s">
        <v>16</v>
      </c>
      <c r="C1307" t="s">
        <v>23</v>
      </c>
      <c r="D1307" t="s">
        <v>1085</v>
      </c>
      <c r="E1307" t="s">
        <v>2375</v>
      </c>
      <c r="F1307" t="s">
        <v>2437</v>
      </c>
      <c r="I1307" t="s">
        <v>2446</v>
      </c>
      <c r="J1307" t="s">
        <v>2455</v>
      </c>
      <c r="K1307" t="s">
        <v>2569</v>
      </c>
      <c r="M1307" t="s">
        <v>2617</v>
      </c>
    </row>
    <row r="1308" spans="1:13">
      <c r="A1308" s="1">
        <f>HYPERLINK("https://lsnyc.legalserver.org/matter/dynamic-profile/view/1885005","18-1885005")</f>
        <v>0</v>
      </c>
      <c r="B1308" t="s">
        <v>15</v>
      </c>
      <c r="C1308" t="s">
        <v>37</v>
      </c>
      <c r="D1308" t="s">
        <v>1086</v>
      </c>
      <c r="E1308" t="s">
        <v>2376</v>
      </c>
      <c r="F1308" t="s">
        <v>2437</v>
      </c>
      <c r="I1308" t="s">
        <v>2446</v>
      </c>
      <c r="J1308" t="s">
        <v>2515</v>
      </c>
      <c r="K1308" t="s">
        <v>2572</v>
      </c>
      <c r="L1308" t="s">
        <v>2600</v>
      </c>
      <c r="M1308" t="s">
        <v>2618</v>
      </c>
    </row>
    <row r="1309" spans="1:13">
      <c r="A1309" s="1">
        <f>HYPERLINK("https://lsnyc.legalserver.org/matter/dynamic-profile/view/1885000","18-1885000")</f>
        <v>0</v>
      </c>
      <c r="B1309" t="s">
        <v>15</v>
      </c>
      <c r="C1309" t="s">
        <v>39</v>
      </c>
      <c r="D1309" t="s">
        <v>1087</v>
      </c>
      <c r="E1309" t="s">
        <v>2374</v>
      </c>
      <c r="F1309" t="s">
        <v>2439</v>
      </c>
      <c r="I1309" t="s">
        <v>2446</v>
      </c>
      <c r="J1309" t="s">
        <v>2450</v>
      </c>
      <c r="K1309" t="s">
        <v>2569</v>
      </c>
      <c r="L1309" t="s">
        <v>2601</v>
      </c>
      <c r="M1309" t="s">
        <v>2631</v>
      </c>
    </row>
    <row r="1310" spans="1:13">
      <c r="A1310" s="1">
        <f>HYPERLINK("https://lsnyc.legalserver.org/matter/dynamic-profile/view/1885213","18-1885213")</f>
        <v>0</v>
      </c>
      <c r="B1310" t="s">
        <v>15</v>
      </c>
      <c r="C1310" t="s">
        <v>39</v>
      </c>
      <c r="D1310" t="s">
        <v>1088</v>
      </c>
      <c r="E1310" t="s">
        <v>2374</v>
      </c>
      <c r="F1310" t="s">
        <v>2439</v>
      </c>
      <c r="I1310" t="s">
        <v>2446</v>
      </c>
      <c r="J1310" t="s">
        <v>2465</v>
      </c>
      <c r="K1310" t="s">
        <v>2569</v>
      </c>
      <c r="L1310" t="s">
        <v>2602</v>
      </c>
      <c r="M1310" t="s">
        <v>2631</v>
      </c>
    </row>
    <row r="1311" spans="1:13">
      <c r="A1311" s="1">
        <f>HYPERLINK("https://lsnyc.legalserver.org/matter/dynamic-profile/view/1884949","18-1884949")</f>
        <v>0</v>
      </c>
      <c r="B1311" t="s">
        <v>14</v>
      </c>
      <c r="C1311" t="s">
        <v>26</v>
      </c>
      <c r="D1311" t="s">
        <v>1089</v>
      </c>
      <c r="E1311" t="s">
        <v>2391</v>
      </c>
      <c r="F1311" t="s">
        <v>2437</v>
      </c>
      <c r="I1311" t="s">
        <v>2446</v>
      </c>
      <c r="J1311" t="s">
        <v>2450</v>
      </c>
      <c r="K1311" t="s">
        <v>2569</v>
      </c>
      <c r="M1311" t="s">
        <v>2615</v>
      </c>
    </row>
    <row r="1312" spans="1:13">
      <c r="A1312" s="1">
        <f>HYPERLINK("https://lsnyc.legalserver.org/matter/dynamic-profile/view/1884957","18-1884957")</f>
        <v>0</v>
      </c>
      <c r="B1312" t="s">
        <v>15</v>
      </c>
      <c r="C1312" t="s">
        <v>39</v>
      </c>
      <c r="D1312" t="s">
        <v>140</v>
      </c>
      <c r="E1312" t="s">
        <v>2374</v>
      </c>
      <c r="F1312" t="s">
        <v>2438</v>
      </c>
      <c r="J1312" t="s">
        <v>2455</v>
      </c>
      <c r="K1312" t="s">
        <v>2569</v>
      </c>
      <c r="M1312" t="s">
        <v>2616</v>
      </c>
    </row>
    <row r="1313" spans="1:14">
      <c r="A1313" s="1">
        <f>HYPERLINK("https://lsnyc.legalserver.org/matter/dynamic-profile/view/1884971","18-1884971")</f>
        <v>0</v>
      </c>
      <c r="B1313" t="s">
        <v>18</v>
      </c>
      <c r="C1313" t="s">
        <v>45</v>
      </c>
      <c r="D1313" t="s">
        <v>1090</v>
      </c>
      <c r="E1313" t="s">
        <v>2381</v>
      </c>
      <c r="F1313" t="s">
        <v>2439</v>
      </c>
      <c r="I1313" t="s">
        <v>2446</v>
      </c>
      <c r="J1313" t="s">
        <v>2490</v>
      </c>
      <c r="K1313" t="s">
        <v>2572</v>
      </c>
      <c r="M1313" t="s">
        <v>2631</v>
      </c>
    </row>
    <row r="1314" spans="1:14">
      <c r="A1314" s="1">
        <f>HYPERLINK("https://lsnyc.legalserver.org/matter/dynamic-profile/view/1884980","18-1884980")</f>
        <v>0</v>
      </c>
      <c r="B1314" t="s">
        <v>16</v>
      </c>
      <c r="C1314" t="s">
        <v>46</v>
      </c>
      <c r="D1314" t="s">
        <v>1091</v>
      </c>
      <c r="E1314" t="s">
        <v>2390</v>
      </c>
      <c r="F1314" t="s">
        <v>2437</v>
      </c>
      <c r="I1314" t="s">
        <v>2446</v>
      </c>
      <c r="J1314" t="s">
        <v>2448</v>
      </c>
      <c r="K1314" t="s">
        <v>2569</v>
      </c>
      <c r="L1314" t="s">
        <v>2600</v>
      </c>
      <c r="M1314" t="s">
        <v>2619</v>
      </c>
    </row>
    <row r="1315" spans="1:14">
      <c r="A1315" s="1">
        <f>HYPERLINK("https://lsnyc.legalserver.org/matter/dynamic-profile/view/1885002","18-1885002")</f>
        <v>0</v>
      </c>
      <c r="B1315" t="s">
        <v>15</v>
      </c>
      <c r="C1315" t="s">
        <v>32</v>
      </c>
      <c r="D1315" t="s">
        <v>1092</v>
      </c>
      <c r="E1315" t="s">
        <v>2413</v>
      </c>
      <c r="F1315" t="s">
        <v>2437</v>
      </c>
      <c r="J1315" t="s">
        <v>2457</v>
      </c>
      <c r="K1315" t="s">
        <v>2569</v>
      </c>
      <c r="M1315" t="s">
        <v>2629</v>
      </c>
    </row>
    <row r="1316" spans="1:14">
      <c r="A1316" s="1">
        <f>HYPERLINK("https://lsnyc.legalserver.org/matter/dynamic-profile/view/1885035","18-1885035")</f>
        <v>0</v>
      </c>
      <c r="B1316" t="s">
        <v>18</v>
      </c>
      <c r="C1316" t="s">
        <v>27</v>
      </c>
      <c r="D1316" t="s">
        <v>260</v>
      </c>
      <c r="E1316" t="s">
        <v>2374</v>
      </c>
      <c r="F1316" t="s">
        <v>2438</v>
      </c>
      <c r="J1316" t="s">
        <v>2473</v>
      </c>
      <c r="K1316" t="s">
        <v>2572</v>
      </c>
      <c r="M1316" t="s">
        <v>2616</v>
      </c>
    </row>
    <row r="1317" spans="1:14">
      <c r="A1317" s="1">
        <f>HYPERLINK("https://lsnyc.legalserver.org/matter/dynamic-profile/view/1885041","18-1885041")</f>
        <v>0</v>
      </c>
      <c r="B1317" t="s">
        <v>17</v>
      </c>
      <c r="C1317" t="s">
        <v>42</v>
      </c>
      <c r="D1317" t="s">
        <v>720</v>
      </c>
      <c r="E1317" t="s">
        <v>2391</v>
      </c>
      <c r="F1317" t="s">
        <v>2437</v>
      </c>
      <c r="I1317" t="s">
        <v>2446</v>
      </c>
      <c r="J1317" t="s">
        <v>2465</v>
      </c>
      <c r="K1317" t="s">
        <v>2569</v>
      </c>
      <c r="L1317" t="s">
        <v>2600</v>
      </c>
      <c r="M1317" t="s">
        <v>2615</v>
      </c>
    </row>
    <row r="1318" spans="1:14">
      <c r="A1318" s="1">
        <f>HYPERLINK("https://lsnyc.legalserver.org/matter/dynamic-profile/view/1884897","18-1884897")</f>
        <v>0</v>
      </c>
      <c r="B1318" t="s">
        <v>16</v>
      </c>
      <c r="C1318" t="s">
        <v>46</v>
      </c>
      <c r="D1318" t="s">
        <v>1093</v>
      </c>
      <c r="E1318" t="s">
        <v>2375</v>
      </c>
      <c r="F1318" t="s">
        <v>2439</v>
      </c>
      <c r="I1318" t="s">
        <v>2446</v>
      </c>
      <c r="J1318" t="s">
        <v>2455</v>
      </c>
      <c r="L1318" t="s">
        <v>2602</v>
      </c>
      <c r="M1318" t="s">
        <v>2631</v>
      </c>
    </row>
    <row r="1319" spans="1:14">
      <c r="A1319" s="1">
        <f>HYPERLINK("https://lsnyc.legalserver.org/matter/dynamic-profile/view/1884820","18-1884820")</f>
        <v>0</v>
      </c>
      <c r="B1319" t="s">
        <v>16</v>
      </c>
      <c r="C1319" t="s">
        <v>23</v>
      </c>
      <c r="D1319" t="s">
        <v>1094</v>
      </c>
      <c r="E1319" t="s">
        <v>2375</v>
      </c>
      <c r="F1319" t="s">
        <v>2437</v>
      </c>
      <c r="I1319" t="s">
        <v>2446</v>
      </c>
      <c r="J1319" t="s">
        <v>2483</v>
      </c>
      <c r="K1319" t="s">
        <v>2571</v>
      </c>
      <c r="L1319" t="s">
        <v>2604</v>
      </c>
      <c r="M1319" t="s">
        <v>2617</v>
      </c>
    </row>
    <row r="1320" spans="1:14">
      <c r="A1320" s="1">
        <f>HYPERLINK("https://lsnyc.legalserver.org/matter/dynamic-profile/view/1884773","18-1884773")</f>
        <v>0</v>
      </c>
      <c r="B1320" t="s">
        <v>17</v>
      </c>
      <c r="C1320" t="s">
        <v>28</v>
      </c>
      <c r="D1320" t="s">
        <v>1095</v>
      </c>
      <c r="E1320" t="s">
        <v>2383</v>
      </c>
      <c r="F1320" t="s">
        <v>2437</v>
      </c>
      <c r="I1320" t="s">
        <v>2446</v>
      </c>
      <c r="J1320" t="s">
        <v>2522</v>
      </c>
      <c r="K1320" t="s">
        <v>2572</v>
      </c>
      <c r="L1320" t="s">
        <v>2600</v>
      </c>
      <c r="M1320" t="s">
        <v>2624</v>
      </c>
    </row>
    <row r="1321" spans="1:14">
      <c r="A1321" s="1">
        <f>HYPERLINK("https://lsnyc.legalserver.org/matter/dynamic-profile/view/1884817","18-1884817")</f>
        <v>0</v>
      </c>
      <c r="B1321" t="s">
        <v>14</v>
      </c>
      <c r="C1321" t="s">
        <v>26</v>
      </c>
      <c r="D1321" t="s">
        <v>985</v>
      </c>
      <c r="E1321" t="s">
        <v>2391</v>
      </c>
      <c r="F1321" t="s">
        <v>2437</v>
      </c>
      <c r="I1321" t="s">
        <v>2446</v>
      </c>
      <c r="J1321" t="s">
        <v>2465</v>
      </c>
      <c r="K1321" t="s">
        <v>2569</v>
      </c>
      <c r="L1321" t="s">
        <v>2600</v>
      </c>
      <c r="M1321" t="s">
        <v>2615</v>
      </c>
      <c r="N1321" t="s">
        <v>2649</v>
      </c>
    </row>
    <row r="1322" spans="1:14">
      <c r="A1322" s="1">
        <f>HYPERLINK("https://lsnyc.legalserver.org/matter/dynamic-profile/view/1884834","18-1884834")</f>
        <v>0</v>
      </c>
      <c r="B1322" t="s">
        <v>15</v>
      </c>
      <c r="C1322" t="s">
        <v>39</v>
      </c>
      <c r="D1322" t="s">
        <v>1096</v>
      </c>
      <c r="E1322" t="s">
        <v>2371</v>
      </c>
      <c r="F1322" t="s">
        <v>2440</v>
      </c>
      <c r="I1322" t="s">
        <v>2446</v>
      </c>
      <c r="J1322" t="s">
        <v>2449</v>
      </c>
      <c r="K1322" t="s">
        <v>2569</v>
      </c>
      <c r="M1322" t="s">
        <v>2636</v>
      </c>
    </row>
    <row r="1323" spans="1:14">
      <c r="A1323" s="1">
        <f>HYPERLINK("https://lsnyc.legalserver.org/matter/dynamic-profile/view/1884859","18-1884859")</f>
        <v>0</v>
      </c>
      <c r="B1323" t="s">
        <v>16</v>
      </c>
      <c r="C1323" t="s">
        <v>23</v>
      </c>
      <c r="D1323" t="s">
        <v>1097</v>
      </c>
      <c r="E1323" t="s">
        <v>2375</v>
      </c>
      <c r="F1323" t="s">
        <v>2437</v>
      </c>
      <c r="I1323" t="s">
        <v>2446</v>
      </c>
      <c r="J1323" t="s">
        <v>2457</v>
      </c>
      <c r="K1323" t="s">
        <v>2569</v>
      </c>
      <c r="M1323" t="s">
        <v>2617</v>
      </c>
    </row>
    <row r="1324" spans="1:14">
      <c r="A1324" s="1">
        <f>HYPERLINK("https://lsnyc.legalserver.org/matter/dynamic-profile/view/1884703","18-1884703")</f>
        <v>0</v>
      </c>
      <c r="B1324" t="s">
        <v>18</v>
      </c>
      <c r="C1324" t="s">
        <v>45</v>
      </c>
      <c r="D1324" t="s">
        <v>1098</v>
      </c>
      <c r="F1324" t="s">
        <v>2439</v>
      </c>
      <c r="I1324" t="s">
        <v>2446</v>
      </c>
      <c r="J1324" t="s">
        <v>2524</v>
      </c>
      <c r="K1324" t="s">
        <v>2569</v>
      </c>
      <c r="L1324" t="s">
        <v>2601</v>
      </c>
      <c r="M1324" t="s">
        <v>2631</v>
      </c>
    </row>
    <row r="1325" spans="1:14">
      <c r="A1325" s="1">
        <f>HYPERLINK("https://lsnyc.legalserver.org/matter/dynamic-profile/view/1884687","18-1884687")</f>
        <v>0</v>
      </c>
      <c r="B1325" t="s">
        <v>14</v>
      </c>
      <c r="C1325" t="s">
        <v>20</v>
      </c>
      <c r="D1325" t="s">
        <v>1099</v>
      </c>
      <c r="E1325" t="s">
        <v>2425</v>
      </c>
      <c r="F1325" t="s">
        <v>2439</v>
      </c>
      <c r="I1325" t="s">
        <v>2446</v>
      </c>
      <c r="J1325" t="s">
        <v>2448</v>
      </c>
      <c r="K1325" t="s">
        <v>2569</v>
      </c>
      <c r="L1325" t="s">
        <v>2601</v>
      </c>
      <c r="M1325" t="s">
        <v>2631</v>
      </c>
    </row>
    <row r="1326" spans="1:14">
      <c r="A1326" s="1">
        <f>HYPERLINK("https://lsnyc.legalserver.org/matter/dynamic-profile/view/1884743","18-1884743")</f>
        <v>0</v>
      </c>
      <c r="B1326" t="s">
        <v>14</v>
      </c>
      <c r="C1326" t="s">
        <v>26</v>
      </c>
      <c r="D1326" t="s">
        <v>976</v>
      </c>
      <c r="E1326" t="s">
        <v>2385</v>
      </c>
      <c r="F1326" t="s">
        <v>2438</v>
      </c>
      <c r="J1326" t="s">
        <v>2450</v>
      </c>
      <c r="K1326" t="s">
        <v>2569</v>
      </c>
      <c r="L1326" t="s">
        <v>2601</v>
      </c>
      <c r="M1326" t="s">
        <v>2631</v>
      </c>
    </row>
    <row r="1327" spans="1:14">
      <c r="A1327" s="1">
        <f>HYPERLINK("https://lsnyc.legalserver.org/matter/dynamic-profile/view/1884749","18-1884749")</f>
        <v>0</v>
      </c>
      <c r="B1327" t="s">
        <v>14</v>
      </c>
      <c r="C1327" t="s">
        <v>26</v>
      </c>
      <c r="D1327" t="s">
        <v>976</v>
      </c>
      <c r="E1327" t="s">
        <v>2391</v>
      </c>
      <c r="F1327" t="s">
        <v>2438</v>
      </c>
      <c r="J1327" t="s">
        <v>2450</v>
      </c>
      <c r="K1327" t="s">
        <v>2569</v>
      </c>
      <c r="L1327" t="s">
        <v>2601</v>
      </c>
      <c r="M1327" t="s">
        <v>2631</v>
      </c>
    </row>
    <row r="1328" spans="1:14">
      <c r="A1328" s="1">
        <f>HYPERLINK("https://lsnyc.legalserver.org/matter/dynamic-profile/view/1884672","18-1884672")</f>
        <v>0</v>
      </c>
      <c r="B1328" t="s">
        <v>16</v>
      </c>
      <c r="C1328" t="s">
        <v>46</v>
      </c>
      <c r="D1328" t="s">
        <v>533</v>
      </c>
      <c r="E1328" t="s">
        <v>2390</v>
      </c>
      <c r="F1328" t="s">
        <v>2437</v>
      </c>
      <c r="I1328" t="s">
        <v>2446</v>
      </c>
      <c r="J1328" t="s">
        <v>2457</v>
      </c>
      <c r="K1328" t="s">
        <v>2569</v>
      </c>
      <c r="M1328" t="s">
        <v>2619</v>
      </c>
    </row>
    <row r="1329" spans="1:14">
      <c r="A1329" s="1">
        <f>HYPERLINK("https://lsnyc.legalserver.org/matter/dynamic-profile/view/1884695","18-1884695")</f>
        <v>0</v>
      </c>
      <c r="B1329" t="s">
        <v>16</v>
      </c>
      <c r="C1329" t="s">
        <v>46</v>
      </c>
      <c r="D1329" t="s">
        <v>1100</v>
      </c>
      <c r="E1329" t="s">
        <v>2390</v>
      </c>
      <c r="F1329" t="s">
        <v>2437</v>
      </c>
      <c r="I1329" t="s">
        <v>2446</v>
      </c>
      <c r="J1329" t="s">
        <v>2448</v>
      </c>
      <c r="K1329" t="s">
        <v>2569</v>
      </c>
      <c r="M1329" t="s">
        <v>2619</v>
      </c>
    </row>
    <row r="1330" spans="1:14">
      <c r="A1330" s="1">
        <f>HYPERLINK("https://lsnyc.legalserver.org/matter/dynamic-profile/view/1885143","18-1885143")</f>
        <v>0</v>
      </c>
      <c r="B1330" t="s">
        <v>15</v>
      </c>
      <c r="C1330" t="s">
        <v>32</v>
      </c>
      <c r="D1330" t="s">
        <v>984</v>
      </c>
      <c r="E1330" t="s">
        <v>2373</v>
      </c>
      <c r="F1330" t="s">
        <v>2441</v>
      </c>
      <c r="I1330" t="s">
        <v>2446</v>
      </c>
      <c r="J1330" t="s">
        <v>2465</v>
      </c>
      <c r="K1330" t="s">
        <v>2569</v>
      </c>
      <c r="L1330" t="s">
        <v>2603</v>
      </c>
      <c r="M1330" t="s">
        <v>2615</v>
      </c>
      <c r="N1330" t="s">
        <v>2649</v>
      </c>
    </row>
    <row r="1331" spans="1:14">
      <c r="A1331" s="1">
        <f>HYPERLINK("https://lsnyc.legalserver.org/matter/dynamic-profile/view/1885237","18-1885237")</f>
        <v>0</v>
      </c>
      <c r="B1331" t="s">
        <v>15</v>
      </c>
      <c r="C1331" t="s">
        <v>32</v>
      </c>
      <c r="D1331" t="s">
        <v>1101</v>
      </c>
      <c r="E1331" t="s">
        <v>2376</v>
      </c>
      <c r="F1331" t="s">
        <v>2437</v>
      </c>
      <c r="J1331" t="s">
        <v>2457</v>
      </c>
      <c r="K1331" t="s">
        <v>2569</v>
      </c>
      <c r="L1331" t="s">
        <v>2600</v>
      </c>
      <c r="M1331" t="s">
        <v>2618</v>
      </c>
      <c r="N1331" t="s">
        <v>2648</v>
      </c>
    </row>
    <row r="1332" spans="1:14">
      <c r="A1332" s="1">
        <f>HYPERLINK("https://lsnyc.legalserver.org/matter/dynamic-profile/view/1884657","18-1884657")</f>
        <v>0</v>
      </c>
      <c r="B1332" t="s">
        <v>17</v>
      </c>
      <c r="C1332" t="s">
        <v>71</v>
      </c>
      <c r="D1332" t="s">
        <v>1102</v>
      </c>
      <c r="E1332" t="s">
        <v>2376</v>
      </c>
      <c r="F1332" t="s">
        <v>2437</v>
      </c>
      <c r="I1332" t="s">
        <v>2446</v>
      </c>
      <c r="J1332" t="s">
        <v>2454</v>
      </c>
      <c r="K1332" t="s">
        <v>2572</v>
      </c>
      <c r="L1332" t="s">
        <v>2603</v>
      </c>
      <c r="M1332" t="s">
        <v>2618</v>
      </c>
    </row>
    <row r="1333" spans="1:14">
      <c r="A1333" s="1">
        <f>HYPERLINK("https://lsnyc.legalserver.org/matter/dynamic-profile/view/1884496","18-1884496")</f>
        <v>0</v>
      </c>
      <c r="B1333" t="s">
        <v>14</v>
      </c>
      <c r="C1333" t="s">
        <v>20</v>
      </c>
      <c r="D1333" t="s">
        <v>1103</v>
      </c>
      <c r="E1333" t="s">
        <v>2413</v>
      </c>
      <c r="F1333" t="s">
        <v>2437</v>
      </c>
      <c r="I1333" t="s">
        <v>2446</v>
      </c>
      <c r="J1333" t="s">
        <v>2504</v>
      </c>
      <c r="K1333" t="s">
        <v>2579</v>
      </c>
      <c r="L1333" t="s">
        <v>2600</v>
      </c>
      <c r="M1333" t="s">
        <v>2631</v>
      </c>
    </row>
    <row r="1334" spans="1:14">
      <c r="A1334" s="1">
        <f>HYPERLINK("https://lsnyc.legalserver.org/matter/dynamic-profile/view/1884530","18-1884530")</f>
        <v>0</v>
      </c>
      <c r="B1334" t="s">
        <v>16</v>
      </c>
      <c r="C1334" t="s">
        <v>23</v>
      </c>
      <c r="D1334" t="s">
        <v>1104</v>
      </c>
      <c r="E1334" t="s">
        <v>2375</v>
      </c>
      <c r="F1334" t="s">
        <v>2437</v>
      </c>
      <c r="I1334" t="s">
        <v>2446</v>
      </c>
      <c r="J1334" t="s">
        <v>2497</v>
      </c>
      <c r="K1334" t="s">
        <v>2572</v>
      </c>
      <c r="M1334" t="s">
        <v>2617</v>
      </c>
    </row>
    <row r="1335" spans="1:14">
      <c r="A1335" s="1">
        <f>HYPERLINK("https://lsnyc.legalserver.org/matter/dynamic-profile/view/1884647","18-1884647")</f>
        <v>0</v>
      </c>
      <c r="B1335" t="s">
        <v>17</v>
      </c>
      <c r="C1335" t="s">
        <v>36</v>
      </c>
      <c r="D1335" t="s">
        <v>1105</v>
      </c>
      <c r="E1335" t="s">
        <v>2383</v>
      </c>
      <c r="F1335" t="s">
        <v>2437</v>
      </c>
      <c r="I1335" t="s">
        <v>2446</v>
      </c>
      <c r="J1335" t="s">
        <v>2502</v>
      </c>
      <c r="K1335" t="s">
        <v>2572</v>
      </c>
      <c r="L1335" t="s">
        <v>2600</v>
      </c>
      <c r="M1335" t="s">
        <v>2624</v>
      </c>
    </row>
    <row r="1336" spans="1:14">
      <c r="A1336" s="1">
        <f>HYPERLINK("https://lsnyc.legalserver.org/matter/dynamic-profile/view/1884433","18-1884433")</f>
        <v>0</v>
      </c>
      <c r="B1336" t="s">
        <v>15</v>
      </c>
      <c r="C1336" t="s">
        <v>37</v>
      </c>
      <c r="D1336" t="s">
        <v>1106</v>
      </c>
      <c r="E1336" t="s">
        <v>2393</v>
      </c>
      <c r="F1336" t="s">
        <v>2440</v>
      </c>
      <c r="I1336" t="s">
        <v>2446</v>
      </c>
      <c r="J1336" t="s">
        <v>2452</v>
      </c>
      <c r="K1336" t="s">
        <v>2572</v>
      </c>
      <c r="L1336" t="s">
        <v>2603</v>
      </c>
      <c r="M1336" t="s">
        <v>2637</v>
      </c>
    </row>
    <row r="1337" spans="1:14">
      <c r="A1337" s="1">
        <f>HYPERLINK("https://lsnyc.legalserver.org/matter/dynamic-profile/view/1884390","18-1884390")</f>
        <v>0</v>
      </c>
      <c r="B1337" t="s">
        <v>18</v>
      </c>
      <c r="C1337" t="s">
        <v>34</v>
      </c>
      <c r="D1337" t="s">
        <v>1107</v>
      </c>
      <c r="E1337" t="s">
        <v>2386</v>
      </c>
      <c r="F1337" t="s">
        <v>2437</v>
      </c>
      <c r="J1337" t="s">
        <v>2532</v>
      </c>
      <c r="K1337" t="s">
        <v>2569</v>
      </c>
      <c r="L1337" t="s">
        <v>2600</v>
      </c>
      <c r="M1337" t="s">
        <v>2627</v>
      </c>
    </row>
    <row r="1338" spans="1:14">
      <c r="A1338" s="1">
        <f>HYPERLINK("https://lsnyc.legalserver.org/matter/dynamic-profile/view/1884452","18-1884452")</f>
        <v>0</v>
      </c>
      <c r="B1338" t="s">
        <v>15</v>
      </c>
      <c r="C1338" t="s">
        <v>37</v>
      </c>
      <c r="D1338" t="s">
        <v>1108</v>
      </c>
      <c r="E1338" t="s">
        <v>2383</v>
      </c>
      <c r="F1338" t="s">
        <v>2437</v>
      </c>
      <c r="H1338" t="s">
        <v>2445</v>
      </c>
      <c r="J1338" t="s">
        <v>2452</v>
      </c>
      <c r="K1338" t="s">
        <v>2572</v>
      </c>
      <c r="L1338" t="s">
        <v>2600</v>
      </c>
      <c r="M1338" t="s">
        <v>2624</v>
      </c>
    </row>
    <row r="1339" spans="1:14">
      <c r="A1339" s="1">
        <f>HYPERLINK("https://lsnyc.legalserver.org/matter/dynamic-profile/view/1884475","18-1884475")</f>
        <v>0</v>
      </c>
      <c r="B1339" t="s">
        <v>15</v>
      </c>
      <c r="C1339" t="s">
        <v>37</v>
      </c>
      <c r="D1339" t="s">
        <v>1108</v>
      </c>
      <c r="E1339" t="s">
        <v>2376</v>
      </c>
      <c r="F1339" t="s">
        <v>2437</v>
      </c>
      <c r="H1339" t="s">
        <v>2445</v>
      </c>
      <c r="J1339" t="s">
        <v>2452</v>
      </c>
      <c r="K1339" t="s">
        <v>2572</v>
      </c>
      <c r="L1339" t="s">
        <v>2600</v>
      </c>
      <c r="M1339" t="s">
        <v>2618</v>
      </c>
    </row>
    <row r="1340" spans="1:14">
      <c r="A1340" s="1">
        <f>HYPERLINK("https://lsnyc.legalserver.org/matter/dynamic-profile/view/1884302","18-1884302")</f>
        <v>0</v>
      </c>
      <c r="B1340" t="s">
        <v>15</v>
      </c>
      <c r="C1340" t="s">
        <v>31</v>
      </c>
      <c r="D1340" t="s">
        <v>1109</v>
      </c>
      <c r="E1340" t="s">
        <v>2385</v>
      </c>
      <c r="F1340" t="s">
        <v>2438</v>
      </c>
      <c r="J1340" t="s">
        <v>2450</v>
      </c>
      <c r="K1340" t="s">
        <v>2569</v>
      </c>
      <c r="M1340" t="s">
        <v>2616</v>
      </c>
    </row>
    <row r="1341" spans="1:14">
      <c r="A1341" s="1">
        <f>HYPERLINK("https://lsnyc.legalserver.org/matter/dynamic-profile/view/1884305","18-1884305")</f>
        <v>0</v>
      </c>
      <c r="B1341" t="s">
        <v>15</v>
      </c>
      <c r="C1341" t="s">
        <v>31</v>
      </c>
      <c r="D1341" t="s">
        <v>966</v>
      </c>
      <c r="E1341" t="s">
        <v>2385</v>
      </c>
      <c r="F1341" t="s">
        <v>2438</v>
      </c>
      <c r="J1341" t="s">
        <v>2450</v>
      </c>
      <c r="K1341" t="s">
        <v>2569</v>
      </c>
      <c r="M1341" t="s">
        <v>2616</v>
      </c>
    </row>
    <row r="1342" spans="1:14">
      <c r="A1342" s="1">
        <f>HYPERLINK("https://lsnyc.legalserver.org/matter/dynamic-profile/view/1884315","18-1884315")</f>
        <v>0</v>
      </c>
      <c r="B1342" t="s">
        <v>18</v>
      </c>
      <c r="C1342" t="s">
        <v>45</v>
      </c>
      <c r="D1342" t="s">
        <v>1110</v>
      </c>
      <c r="E1342" t="s">
        <v>2374</v>
      </c>
      <c r="F1342" t="s">
        <v>2439</v>
      </c>
      <c r="I1342" t="s">
        <v>2446</v>
      </c>
      <c r="J1342" t="s">
        <v>2457</v>
      </c>
      <c r="K1342" t="s">
        <v>2569</v>
      </c>
      <c r="M1342" t="s">
        <v>2631</v>
      </c>
    </row>
    <row r="1343" spans="1:14">
      <c r="A1343" s="1">
        <f>HYPERLINK("https://lsnyc.legalserver.org/matter/dynamic-profile/view/1884353","18-1884353")</f>
        <v>0</v>
      </c>
      <c r="B1343" t="s">
        <v>15</v>
      </c>
      <c r="C1343" t="s">
        <v>32</v>
      </c>
      <c r="D1343" t="s">
        <v>1101</v>
      </c>
      <c r="E1343" t="s">
        <v>2375</v>
      </c>
      <c r="F1343" t="s">
        <v>2437</v>
      </c>
      <c r="J1343" t="s">
        <v>2457</v>
      </c>
      <c r="K1343" t="s">
        <v>2569</v>
      </c>
      <c r="M1343" t="s">
        <v>2617</v>
      </c>
      <c r="N1343" t="s">
        <v>2648</v>
      </c>
    </row>
    <row r="1344" spans="1:14">
      <c r="A1344" s="1">
        <f>HYPERLINK("https://lsnyc.legalserver.org/matter/dynamic-profile/view/1884217","18-1884217")</f>
        <v>0</v>
      </c>
      <c r="B1344" t="s">
        <v>18</v>
      </c>
      <c r="C1344" t="s">
        <v>34</v>
      </c>
      <c r="D1344" t="s">
        <v>1111</v>
      </c>
      <c r="E1344" t="s">
        <v>2383</v>
      </c>
      <c r="F1344" t="s">
        <v>2440</v>
      </c>
      <c r="I1344" t="s">
        <v>2446</v>
      </c>
      <c r="J1344" t="s">
        <v>2471</v>
      </c>
      <c r="K1344" t="s">
        <v>2572</v>
      </c>
      <c r="L1344" t="s">
        <v>2602</v>
      </c>
      <c r="M1344" t="s">
        <v>2631</v>
      </c>
    </row>
    <row r="1345" spans="1:13">
      <c r="A1345" s="1">
        <f>HYPERLINK("https://lsnyc.legalserver.org/matter/dynamic-profile/view/1884096","18-1884096")</f>
        <v>0</v>
      </c>
      <c r="B1345" t="s">
        <v>18</v>
      </c>
      <c r="C1345" t="s">
        <v>27</v>
      </c>
      <c r="D1345" t="s">
        <v>1112</v>
      </c>
      <c r="E1345" t="s">
        <v>2386</v>
      </c>
      <c r="F1345" t="s">
        <v>2439</v>
      </c>
      <c r="I1345" t="s">
        <v>2446</v>
      </c>
      <c r="J1345" t="s">
        <v>2502</v>
      </c>
      <c r="K1345" t="s">
        <v>2572</v>
      </c>
      <c r="L1345" t="s">
        <v>2602</v>
      </c>
      <c r="M1345" t="s">
        <v>2631</v>
      </c>
    </row>
    <row r="1346" spans="1:13">
      <c r="A1346" s="1">
        <f>HYPERLINK("https://lsnyc.legalserver.org/matter/dynamic-profile/view/1884149","18-1884149")</f>
        <v>0</v>
      </c>
      <c r="B1346" t="s">
        <v>15</v>
      </c>
      <c r="C1346" t="s">
        <v>49</v>
      </c>
      <c r="D1346" t="s">
        <v>1113</v>
      </c>
      <c r="E1346" t="s">
        <v>2394</v>
      </c>
      <c r="F1346" t="s">
        <v>2437</v>
      </c>
      <c r="I1346" t="s">
        <v>2446</v>
      </c>
      <c r="J1346" t="s">
        <v>2455</v>
      </c>
      <c r="K1346" t="s">
        <v>2569</v>
      </c>
      <c r="L1346" t="s">
        <v>2600</v>
      </c>
      <c r="M1346" t="s">
        <v>2627</v>
      </c>
    </row>
    <row r="1347" spans="1:13">
      <c r="A1347" s="1">
        <f>HYPERLINK("https://lsnyc.legalserver.org/matter/dynamic-profile/view/1884160","18-1884160")</f>
        <v>0</v>
      </c>
      <c r="B1347" t="s">
        <v>15</v>
      </c>
      <c r="C1347" t="s">
        <v>37</v>
      </c>
      <c r="D1347" t="s">
        <v>1114</v>
      </c>
      <c r="E1347" t="s">
        <v>2376</v>
      </c>
      <c r="F1347" t="s">
        <v>2437</v>
      </c>
      <c r="I1347" t="s">
        <v>2446</v>
      </c>
      <c r="J1347" t="s">
        <v>2447</v>
      </c>
      <c r="K1347" t="s">
        <v>2569</v>
      </c>
      <c r="L1347" t="s">
        <v>2600</v>
      </c>
      <c r="M1347" t="s">
        <v>2618</v>
      </c>
    </row>
    <row r="1348" spans="1:13">
      <c r="A1348" s="1">
        <f>HYPERLINK("https://lsnyc.legalserver.org/matter/dynamic-profile/view/1884162","18-1884162")</f>
        <v>0</v>
      </c>
      <c r="B1348" t="s">
        <v>15</v>
      </c>
      <c r="C1348" t="s">
        <v>37</v>
      </c>
      <c r="D1348" t="s">
        <v>1114</v>
      </c>
      <c r="E1348" t="s">
        <v>2406</v>
      </c>
      <c r="F1348" t="s">
        <v>2437</v>
      </c>
      <c r="I1348" t="s">
        <v>2446</v>
      </c>
      <c r="J1348" t="s">
        <v>2447</v>
      </c>
      <c r="K1348" t="s">
        <v>2569</v>
      </c>
      <c r="L1348" t="s">
        <v>2600</v>
      </c>
      <c r="M1348" t="s">
        <v>2642</v>
      </c>
    </row>
    <row r="1349" spans="1:13">
      <c r="A1349" s="1">
        <f>HYPERLINK("https://lsnyc.legalserver.org/matter/dynamic-profile/view/1884177","18-1884177")</f>
        <v>0</v>
      </c>
      <c r="B1349" t="s">
        <v>16</v>
      </c>
      <c r="C1349" t="s">
        <v>46</v>
      </c>
      <c r="D1349" t="s">
        <v>1115</v>
      </c>
      <c r="E1349" t="s">
        <v>2390</v>
      </c>
      <c r="F1349" t="s">
        <v>2437</v>
      </c>
      <c r="I1349" t="s">
        <v>2446</v>
      </c>
      <c r="J1349" t="s">
        <v>2448</v>
      </c>
      <c r="K1349" t="s">
        <v>2569</v>
      </c>
      <c r="L1349" t="s">
        <v>2600</v>
      </c>
      <c r="M1349" t="s">
        <v>2619</v>
      </c>
    </row>
    <row r="1350" spans="1:13">
      <c r="A1350" s="1">
        <f>HYPERLINK("https://lsnyc.legalserver.org/matter/dynamic-profile/view/1884201","18-1884201")</f>
        <v>0</v>
      </c>
      <c r="B1350" t="s">
        <v>16</v>
      </c>
      <c r="C1350" t="s">
        <v>23</v>
      </c>
      <c r="D1350" t="s">
        <v>1116</v>
      </c>
      <c r="E1350" t="s">
        <v>2383</v>
      </c>
      <c r="F1350" t="s">
        <v>2437</v>
      </c>
      <c r="I1350" t="s">
        <v>2446</v>
      </c>
      <c r="J1350" t="s">
        <v>2461</v>
      </c>
      <c r="M1350" t="s">
        <v>2624</v>
      </c>
    </row>
    <row r="1351" spans="1:13">
      <c r="A1351" s="1">
        <f>HYPERLINK("https://lsnyc.legalserver.org/matter/dynamic-profile/view/1883998","18-1883998")</f>
        <v>0</v>
      </c>
      <c r="B1351" t="s">
        <v>18</v>
      </c>
      <c r="C1351" t="s">
        <v>27</v>
      </c>
      <c r="D1351" t="s">
        <v>1117</v>
      </c>
      <c r="E1351" t="s">
        <v>2375</v>
      </c>
      <c r="F1351" t="s">
        <v>2440</v>
      </c>
      <c r="I1351" t="s">
        <v>2446</v>
      </c>
      <c r="J1351" t="s">
        <v>2457</v>
      </c>
      <c r="K1351" t="s">
        <v>2569</v>
      </c>
      <c r="L1351" t="s">
        <v>2602</v>
      </c>
      <c r="M1351" t="s">
        <v>2631</v>
      </c>
    </row>
    <row r="1352" spans="1:13">
      <c r="A1352" s="1">
        <f>HYPERLINK("https://lsnyc.legalserver.org/matter/dynamic-profile/view/1883995","18-1883995")</f>
        <v>0</v>
      </c>
      <c r="B1352" t="s">
        <v>15</v>
      </c>
      <c r="C1352" t="s">
        <v>55</v>
      </c>
      <c r="D1352" t="s">
        <v>1118</v>
      </c>
      <c r="E1352" t="s">
        <v>2374</v>
      </c>
      <c r="F1352" t="s">
        <v>2440</v>
      </c>
      <c r="I1352" t="s">
        <v>2446</v>
      </c>
      <c r="J1352" t="s">
        <v>2461</v>
      </c>
      <c r="K1352" t="s">
        <v>2572</v>
      </c>
      <c r="L1352" t="s">
        <v>2602</v>
      </c>
      <c r="M1352" t="s">
        <v>2631</v>
      </c>
    </row>
    <row r="1353" spans="1:13">
      <c r="A1353" s="1">
        <f>HYPERLINK("https://lsnyc.legalserver.org/matter/dynamic-profile/view/1884077","18-1884077")</f>
        <v>0</v>
      </c>
      <c r="B1353" t="s">
        <v>14</v>
      </c>
      <c r="C1353" t="s">
        <v>20</v>
      </c>
      <c r="D1353" t="s">
        <v>1119</v>
      </c>
      <c r="E1353" t="s">
        <v>2387</v>
      </c>
      <c r="F1353" t="s">
        <v>2437</v>
      </c>
      <c r="I1353" t="s">
        <v>2446</v>
      </c>
      <c r="J1353" t="s">
        <v>2504</v>
      </c>
      <c r="K1353" t="s">
        <v>2572</v>
      </c>
      <c r="L1353" t="s">
        <v>2600</v>
      </c>
      <c r="M1353" t="s">
        <v>2641</v>
      </c>
    </row>
    <row r="1354" spans="1:13">
      <c r="A1354" s="1">
        <f>HYPERLINK("https://lsnyc.legalserver.org/matter/dynamic-profile/view/1884002","18-1884002")</f>
        <v>0</v>
      </c>
      <c r="B1354" t="s">
        <v>19</v>
      </c>
      <c r="C1354" t="s">
        <v>54</v>
      </c>
      <c r="D1354" t="s">
        <v>1120</v>
      </c>
      <c r="E1354" t="s">
        <v>2374</v>
      </c>
      <c r="F1354" t="s">
        <v>2440</v>
      </c>
      <c r="I1354" t="s">
        <v>2446</v>
      </c>
      <c r="J1354" t="s">
        <v>2465</v>
      </c>
      <c r="K1354" t="s">
        <v>2569</v>
      </c>
      <c r="L1354" t="s">
        <v>2602</v>
      </c>
      <c r="M1354" t="s">
        <v>2631</v>
      </c>
    </row>
    <row r="1355" spans="1:13">
      <c r="A1355" s="1">
        <f>HYPERLINK("https://lsnyc.legalserver.org/matter/dynamic-profile/view/1883932","18-1883932")</f>
        <v>0</v>
      </c>
      <c r="B1355" t="s">
        <v>16</v>
      </c>
      <c r="C1355" t="s">
        <v>23</v>
      </c>
      <c r="D1355" t="s">
        <v>1121</v>
      </c>
      <c r="E1355" t="s">
        <v>2406</v>
      </c>
      <c r="F1355" t="s">
        <v>2437</v>
      </c>
      <c r="I1355" t="s">
        <v>2446</v>
      </c>
      <c r="J1355" t="s">
        <v>2447</v>
      </c>
      <c r="K1355" t="s">
        <v>2569</v>
      </c>
      <c r="M1355" t="s">
        <v>2642</v>
      </c>
    </row>
    <row r="1356" spans="1:13">
      <c r="A1356" s="1">
        <f>HYPERLINK("https://lsnyc.legalserver.org/matter/dynamic-profile/view/1883937","18-1883937")</f>
        <v>0</v>
      </c>
      <c r="B1356" t="s">
        <v>16</v>
      </c>
      <c r="C1356" t="s">
        <v>23</v>
      </c>
      <c r="D1356" t="s">
        <v>1122</v>
      </c>
      <c r="E1356" t="s">
        <v>2413</v>
      </c>
      <c r="F1356" t="s">
        <v>2437</v>
      </c>
      <c r="I1356" t="s">
        <v>2446</v>
      </c>
      <c r="J1356" t="s">
        <v>2447</v>
      </c>
      <c r="M1356" t="s">
        <v>2629</v>
      </c>
    </row>
    <row r="1357" spans="1:13">
      <c r="A1357" s="1">
        <f>HYPERLINK("https://lsnyc.legalserver.org/matter/dynamic-profile/view/1883943","18-1883943")</f>
        <v>0</v>
      </c>
      <c r="B1357" t="s">
        <v>16</v>
      </c>
      <c r="C1357" t="s">
        <v>23</v>
      </c>
      <c r="D1357" t="s">
        <v>1122</v>
      </c>
      <c r="E1357" t="s">
        <v>2393</v>
      </c>
      <c r="F1357" t="s">
        <v>2437</v>
      </c>
      <c r="I1357" t="s">
        <v>2446</v>
      </c>
      <c r="J1357" t="s">
        <v>2447</v>
      </c>
      <c r="M1357" t="s">
        <v>2637</v>
      </c>
    </row>
    <row r="1358" spans="1:13">
      <c r="A1358" s="1">
        <f>HYPERLINK("https://lsnyc.legalserver.org/matter/dynamic-profile/view/1883982","18-1883982")</f>
        <v>0</v>
      </c>
      <c r="B1358" t="s">
        <v>16</v>
      </c>
      <c r="C1358" t="s">
        <v>23</v>
      </c>
      <c r="D1358" t="s">
        <v>1123</v>
      </c>
      <c r="E1358" t="s">
        <v>2383</v>
      </c>
      <c r="F1358" t="s">
        <v>2437</v>
      </c>
      <c r="I1358" t="s">
        <v>2446</v>
      </c>
      <c r="J1358" t="s">
        <v>2455</v>
      </c>
      <c r="M1358" t="s">
        <v>2624</v>
      </c>
    </row>
    <row r="1359" spans="1:13">
      <c r="A1359" s="1">
        <f>HYPERLINK("https://lsnyc.legalserver.org/matter/dynamic-profile/view/1884026","18-1884026")</f>
        <v>0</v>
      </c>
      <c r="B1359" t="s">
        <v>19</v>
      </c>
      <c r="C1359" t="s">
        <v>50</v>
      </c>
      <c r="D1359" t="s">
        <v>875</v>
      </c>
      <c r="E1359" t="s">
        <v>2374</v>
      </c>
      <c r="F1359" t="s">
        <v>2438</v>
      </c>
      <c r="J1359" t="s">
        <v>2465</v>
      </c>
      <c r="K1359" t="s">
        <v>2569</v>
      </c>
      <c r="L1359" t="s">
        <v>2605</v>
      </c>
      <c r="M1359" t="s">
        <v>2616</v>
      </c>
    </row>
    <row r="1360" spans="1:13">
      <c r="A1360" s="1">
        <f>HYPERLINK("https://lsnyc.legalserver.org/matter/dynamic-profile/view/1884044","18-1884044")</f>
        <v>0</v>
      </c>
      <c r="B1360" t="s">
        <v>19</v>
      </c>
      <c r="C1360" t="s">
        <v>50</v>
      </c>
      <c r="D1360" t="s">
        <v>1124</v>
      </c>
      <c r="E1360" t="s">
        <v>2376</v>
      </c>
      <c r="F1360" t="s">
        <v>2437</v>
      </c>
      <c r="I1360" t="s">
        <v>2446</v>
      </c>
      <c r="J1360" t="s">
        <v>2457</v>
      </c>
      <c r="K1360" t="s">
        <v>2572</v>
      </c>
      <c r="L1360" t="s">
        <v>2600</v>
      </c>
      <c r="M1360" t="s">
        <v>2618</v>
      </c>
    </row>
    <row r="1361" spans="1:14">
      <c r="A1361" s="1">
        <f>HYPERLINK("https://lsnyc.legalserver.org/matter/dynamic-profile/view/1883820","18-1883820")</f>
        <v>0</v>
      </c>
      <c r="B1361" t="s">
        <v>16</v>
      </c>
      <c r="C1361" t="s">
        <v>24</v>
      </c>
      <c r="D1361" t="s">
        <v>1125</v>
      </c>
      <c r="E1361" t="s">
        <v>2375</v>
      </c>
      <c r="F1361" t="s">
        <v>2439</v>
      </c>
      <c r="H1361" t="s">
        <v>2445</v>
      </c>
      <c r="J1361" t="s">
        <v>2452</v>
      </c>
      <c r="K1361" t="s">
        <v>2572</v>
      </c>
      <c r="L1361" t="s">
        <v>2601</v>
      </c>
      <c r="M1361" t="s">
        <v>2631</v>
      </c>
    </row>
    <row r="1362" spans="1:14">
      <c r="A1362" s="1">
        <f>HYPERLINK("https://lsnyc.legalserver.org/matter/dynamic-profile/view/1883921","18-1883921")</f>
        <v>0</v>
      </c>
      <c r="B1362" t="s">
        <v>19</v>
      </c>
      <c r="C1362" t="s">
        <v>62</v>
      </c>
      <c r="D1362" t="s">
        <v>1126</v>
      </c>
      <c r="E1362" t="s">
        <v>2376</v>
      </c>
      <c r="F1362" t="s">
        <v>2437</v>
      </c>
      <c r="I1362" t="s">
        <v>2446</v>
      </c>
      <c r="J1362" t="s">
        <v>2457</v>
      </c>
      <c r="K1362" t="s">
        <v>2569</v>
      </c>
      <c r="L1362" t="s">
        <v>2600</v>
      </c>
      <c r="M1362" t="s">
        <v>2618</v>
      </c>
    </row>
    <row r="1363" spans="1:14">
      <c r="A1363" s="1">
        <f>HYPERLINK("https://lsnyc.legalserver.org/matter/dynamic-profile/view/1883801","18-1883801")</f>
        <v>0</v>
      </c>
      <c r="B1363" t="s">
        <v>18</v>
      </c>
      <c r="C1363" t="s">
        <v>27</v>
      </c>
      <c r="D1363" t="s">
        <v>1127</v>
      </c>
      <c r="E1363" t="s">
        <v>2371</v>
      </c>
      <c r="F1363" t="s">
        <v>2437</v>
      </c>
      <c r="I1363" t="s">
        <v>2446</v>
      </c>
      <c r="J1363" t="s">
        <v>2454</v>
      </c>
      <c r="K1363" t="s">
        <v>2572</v>
      </c>
      <c r="L1363" t="s">
        <v>2603</v>
      </c>
      <c r="M1363" t="s">
        <v>2636</v>
      </c>
    </row>
    <row r="1364" spans="1:14">
      <c r="A1364" s="1">
        <f>HYPERLINK("https://lsnyc.legalserver.org/matter/dynamic-profile/view/1883835","18-1883835")</f>
        <v>0</v>
      </c>
      <c r="B1364" t="s">
        <v>14</v>
      </c>
      <c r="C1364" t="s">
        <v>26</v>
      </c>
      <c r="D1364" t="s">
        <v>940</v>
      </c>
      <c r="E1364" t="s">
        <v>2385</v>
      </c>
      <c r="F1364" t="s">
        <v>2438</v>
      </c>
      <c r="I1364" t="s">
        <v>2446</v>
      </c>
      <c r="J1364" t="s">
        <v>2450</v>
      </c>
      <c r="K1364" t="s">
        <v>2569</v>
      </c>
      <c r="M1364" t="s">
        <v>2616</v>
      </c>
    </row>
    <row r="1365" spans="1:14">
      <c r="A1365" s="1">
        <f>HYPERLINK("https://lsnyc.legalserver.org/matter/dynamic-profile/view/1883836","18-1883836")</f>
        <v>0</v>
      </c>
      <c r="B1365" t="s">
        <v>14</v>
      </c>
      <c r="C1365" t="s">
        <v>26</v>
      </c>
      <c r="D1365" t="s">
        <v>1089</v>
      </c>
      <c r="E1365" t="s">
        <v>2374</v>
      </c>
      <c r="F1365" t="s">
        <v>2438</v>
      </c>
      <c r="I1365" t="s">
        <v>2446</v>
      </c>
      <c r="J1365" t="s">
        <v>2450</v>
      </c>
      <c r="M1365" t="s">
        <v>2616</v>
      </c>
    </row>
    <row r="1366" spans="1:14">
      <c r="A1366" s="1">
        <f>HYPERLINK("https://lsnyc.legalserver.org/matter/dynamic-profile/view/1883840","18-1883840")</f>
        <v>0</v>
      </c>
      <c r="B1366" t="s">
        <v>14</v>
      </c>
      <c r="C1366" t="s">
        <v>26</v>
      </c>
      <c r="D1366" t="s">
        <v>1128</v>
      </c>
      <c r="E1366" t="s">
        <v>2374</v>
      </c>
      <c r="F1366" t="s">
        <v>2438</v>
      </c>
      <c r="I1366" t="s">
        <v>2446</v>
      </c>
      <c r="J1366" t="s">
        <v>2450</v>
      </c>
      <c r="K1366" t="s">
        <v>2569</v>
      </c>
      <c r="M1366" t="s">
        <v>2616</v>
      </c>
      <c r="N1366" t="s">
        <v>2649</v>
      </c>
    </row>
    <row r="1367" spans="1:14">
      <c r="A1367" s="1">
        <f>HYPERLINK("https://lsnyc.legalserver.org/matter/dynamic-profile/view/1883846","18-1883846")</f>
        <v>0</v>
      </c>
      <c r="B1367" t="s">
        <v>14</v>
      </c>
      <c r="C1367" t="s">
        <v>26</v>
      </c>
      <c r="D1367" t="s">
        <v>1129</v>
      </c>
      <c r="E1367" t="s">
        <v>2374</v>
      </c>
      <c r="F1367" t="s">
        <v>2438</v>
      </c>
      <c r="I1367" t="s">
        <v>2446</v>
      </c>
      <c r="J1367" t="s">
        <v>2450</v>
      </c>
      <c r="K1367" t="s">
        <v>2569</v>
      </c>
      <c r="M1367" t="s">
        <v>2616</v>
      </c>
      <c r="N1367" t="s">
        <v>2649</v>
      </c>
    </row>
    <row r="1368" spans="1:14">
      <c r="A1368" s="1">
        <f>HYPERLINK("https://lsnyc.legalserver.org/matter/dynamic-profile/view/1883883","18-1883883")</f>
        <v>0</v>
      </c>
      <c r="B1368" t="s">
        <v>14</v>
      </c>
      <c r="C1368" t="s">
        <v>26</v>
      </c>
      <c r="D1368" t="s">
        <v>395</v>
      </c>
      <c r="E1368" t="s">
        <v>2374</v>
      </c>
      <c r="F1368" t="s">
        <v>2438</v>
      </c>
      <c r="I1368" t="s">
        <v>2446</v>
      </c>
      <c r="J1368" t="s">
        <v>2450</v>
      </c>
      <c r="K1368" t="s">
        <v>2569</v>
      </c>
      <c r="M1368" t="s">
        <v>2616</v>
      </c>
    </row>
    <row r="1369" spans="1:14">
      <c r="A1369" s="1">
        <f>HYPERLINK("https://lsnyc.legalserver.org/matter/dynamic-profile/view/1883890","18-1883890")</f>
        <v>0</v>
      </c>
      <c r="B1369" t="s">
        <v>16</v>
      </c>
      <c r="C1369" t="s">
        <v>23</v>
      </c>
      <c r="D1369" t="s">
        <v>1130</v>
      </c>
      <c r="E1369" t="s">
        <v>2381</v>
      </c>
      <c r="F1369" t="s">
        <v>2437</v>
      </c>
      <c r="I1369" t="s">
        <v>2446</v>
      </c>
      <c r="J1369" t="s">
        <v>2452</v>
      </c>
      <c r="M1369" t="s">
        <v>2622</v>
      </c>
    </row>
    <row r="1370" spans="1:14">
      <c r="A1370" s="1">
        <f>HYPERLINK("https://lsnyc.legalserver.org/matter/dynamic-profile/view/1883918","18-1883918")</f>
        <v>0</v>
      </c>
      <c r="B1370" t="s">
        <v>15</v>
      </c>
      <c r="C1370" t="s">
        <v>39</v>
      </c>
      <c r="D1370" t="s">
        <v>695</v>
      </c>
      <c r="E1370" t="s">
        <v>2374</v>
      </c>
      <c r="F1370" t="s">
        <v>2438</v>
      </c>
      <c r="J1370" t="s">
        <v>2449</v>
      </c>
      <c r="K1370" t="s">
        <v>2569</v>
      </c>
      <c r="M1370" t="s">
        <v>2616</v>
      </c>
    </row>
    <row r="1371" spans="1:14">
      <c r="A1371" s="1">
        <f>HYPERLINK("https://lsnyc.legalserver.org/matter/dynamic-profile/view/1881250","18-1881250")</f>
        <v>0</v>
      </c>
      <c r="B1371" t="s">
        <v>17</v>
      </c>
      <c r="C1371" t="s">
        <v>25</v>
      </c>
      <c r="D1371" t="s">
        <v>1131</v>
      </c>
      <c r="E1371" t="s">
        <v>2375</v>
      </c>
      <c r="F1371" t="s">
        <v>2437</v>
      </c>
      <c r="I1371" t="s">
        <v>2446</v>
      </c>
      <c r="J1371" t="s">
        <v>2457</v>
      </c>
      <c r="K1371" t="s">
        <v>2569</v>
      </c>
      <c r="M1371" t="s">
        <v>2617</v>
      </c>
    </row>
    <row r="1372" spans="1:14">
      <c r="A1372" s="1">
        <f>HYPERLINK("https://lsnyc.legalserver.org/matter/dynamic-profile/view/1883699","18-1883699")</f>
        <v>0</v>
      </c>
      <c r="B1372" t="s">
        <v>14</v>
      </c>
      <c r="C1372" t="s">
        <v>21</v>
      </c>
      <c r="D1372" t="s">
        <v>1077</v>
      </c>
      <c r="E1372" t="s">
        <v>2390</v>
      </c>
      <c r="F1372" t="s">
        <v>2437</v>
      </c>
      <c r="G1372" t="s">
        <v>2444</v>
      </c>
      <c r="I1372" t="s">
        <v>2446</v>
      </c>
      <c r="J1372" t="s">
        <v>2452</v>
      </c>
      <c r="K1372" t="s">
        <v>2572</v>
      </c>
      <c r="M1372" t="s">
        <v>2619</v>
      </c>
      <c r="N1372" t="s">
        <v>2648</v>
      </c>
    </row>
    <row r="1373" spans="1:14">
      <c r="A1373" s="1">
        <f>HYPERLINK("https://lsnyc.legalserver.org/matter/dynamic-profile/view/1883747","18-1883747")</f>
        <v>0</v>
      </c>
      <c r="B1373" t="s">
        <v>15</v>
      </c>
      <c r="C1373" t="s">
        <v>49</v>
      </c>
      <c r="D1373" t="s">
        <v>1132</v>
      </c>
      <c r="G1373" t="s">
        <v>2444</v>
      </c>
      <c r="J1373" t="s">
        <v>2447</v>
      </c>
      <c r="K1373" t="s">
        <v>2569</v>
      </c>
      <c r="M1373" t="s">
        <v>2614</v>
      </c>
    </row>
    <row r="1374" spans="1:14">
      <c r="A1374" s="1">
        <f>HYPERLINK("https://lsnyc.legalserver.org/matter/dynamic-profile/view/1883751","18-1883751")</f>
        <v>0</v>
      </c>
      <c r="B1374" t="s">
        <v>14</v>
      </c>
      <c r="C1374" t="s">
        <v>26</v>
      </c>
      <c r="D1374" t="s">
        <v>90</v>
      </c>
      <c r="E1374" t="s">
        <v>2391</v>
      </c>
      <c r="F1374" t="s">
        <v>2441</v>
      </c>
      <c r="I1374" t="s">
        <v>2446</v>
      </c>
      <c r="J1374" t="s">
        <v>2450</v>
      </c>
      <c r="K1374" t="s">
        <v>2569</v>
      </c>
      <c r="M1374" t="s">
        <v>2615</v>
      </c>
    </row>
    <row r="1375" spans="1:14">
      <c r="A1375" s="1">
        <f>HYPERLINK("https://lsnyc.legalserver.org/matter/dynamic-profile/view/1883754","18-1883754")</f>
        <v>0</v>
      </c>
      <c r="B1375" t="s">
        <v>14</v>
      </c>
      <c r="C1375" t="s">
        <v>26</v>
      </c>
      <c r="D1375" t="s">
        <v>90</v>
      </c>
      <c r="E1375" t="s">
        <v>2403</v>
      </c>
      <c r="F1375" t="s">
        <v>2441</v>
      </c>
      <c r="I1375" t="s">
        <v>2446</v>
      </c>
      <c r="J1375" t="s">
        <v>2450</v>
      </c>
      <c r="K1375" t="s">
        <v>2569</v>
      </c>
      <c r="M1375" t="s">
        <v>2639</v>
      </c>
    </row>
    <row r="1376" spans="1:14">
      <c r="A1376" s="1">
        <f>HYPERLINK("https://lsnyc.legalserver.org/matter/dynamic-profile/view/1883764","18-1883764")</f>
        <v>0</v>
      </c>
      <c r="B1376" t="s">
        <v>14</v>
      </c>
      <c r="C1376" t="s">
        <v>26</v>
      </c>
      <c r="D1376" t="s">
        <v>90</v>
      </c>
      <c r="E1376" t="s">
        <v>2374</v>
      </c>
      <c r="F1376" t="s">
        <v>2438</v>
      </c>
      <c r="I1376" t="s">
        <v>2446</v>
      </c>
      <c r="J1376" t="s">
        <v>2450</v>
      </c>
      <c r="K1376" t="s">
        <v>2569</v>
      </c>
      <c r="M1376" t="s">
        <v>2616</v>
      </c>
    </row>
    <row r="1377" spans="1:14">
      <c r="A1377" s="1">
        <f>HYPERLINK("https://lsnyc.legalserver.org/matter/dynamic-profile/view/1883635","18-1883635")</f>
        <v>0</v>
      </c>
      <c r="B1377" t="s">
        <v>19</v>
      </c>
      <c r="C1377" t="s">
        <v>50</v>
      </c>
      <c r="D1377" t="s">
        <v>351</v>
      </c>
      <c r="E1377" t="s">
        <v>2376</v>
      </c>
      <c r="F1377" t="s">
        <v>2437</v>
      </c>
      <c r="I1377" t="s">
        <v>2446</v>
      </c>
      <c r="J1377" t="s">
        <v>2465</v>
      </c>
      <c r="K1377" t="s">
        <v>2569</v>
      </c>
      <c r="L1377" t="s">
        <v>2603</v>
      </c>
      <c r="M1377" t="s">
        <v>2618</v>
      </c>
    </row>
    <row r="1378" spans="1:14">
      <c r="A1378" s="1">
        <f>HYPERLINK("https://lsnyc.legalserver.org/matter/dynamic-profile/view/1883646","18-1883646")</f>
        <v>0</v>
      </c>
      <c r="B1378" t="s">
        <v>18</v>
      </c>
      <c r="C1378" t="s">
        <v>27</v>
      </c>
      <c r="D1378" t="s">
        <v>959</v>
      </c>
      <c r="E1378" t="s">
        <v>2381</v>
      </c>
      <c r="F1378" t="s">
        <v>2437</v>
      </c>
      <c r="I1378" t="s">
        <v>2446</v>
      </c>
      <c r="J1378" t="s">
        <v>2452</v>
      </c>
      <c r="K1378" t="s">
        <v>2572</v>
      </c>
      <c r="L1378" t="s">
        <v>2603</v>
      </c>
      <c r="M1378" t="s">
        <v>2622</v>
      </c>
    </row>
    <row r="1379" spans="1:14">
      <c r="A1379" s="1">
        <f>HYPERLINK("https://lsnyc.legalserver.org/matter/dynamic-profile/view/1883579","18-1883579")</f>
        <v>0</v>
      </c>
      <c r="B1379" t="s">
        <v>14</v>
      </c>
      <c r="C1379" t="s">
        <v>26</v>
      </c>
      <c r="D1379" t="s">
        <v>393</v>
      </c>
      <c r="E1379" t="s">
        <v>2403</v>
      </c>
      <c r="F1379" t="s">
        <v>2441</v>
      </c>
      <c r="I1379" t="s">
        <v>2446</v>
      </c>
      <c r="J1379" t="s">
        <v>2450</v>
      </c>
      <c r="K1379" t="s">
        <v>2569</v>
      </c>
      <c r="M1379" t="s">
        <v>2639</v>
      </c>
    </row>
    <row r="1380" spans="1:14">
      <c r="A1380" s="1">
        <f>HYPERLINK("https://lsnyc.legalserver.org/matter/dynamic-profile/view/1883599","18-1883599")</f>
        <v>0</v>
      </c>
      <c r="B1380" t="s">
        <v>19</v>
      </c>
      <c r="C1380" t="s">
        <v>47</v>
      </c>
      <c r="D1380" t="s">
        <v>1133</v>
      </c>
      <c r="E1380" t="s">
        <v>2374</v>
      </c>
      <c r="F1380" t="s">
        <v>2438</v>
      </c>
      <c r="J1380" t="s">
        <v>2450</v>
      </c>
      <c r="K1380" t="s">
        <v>2569</v>
      </c>
      <c r="L1380" t="s">
        <v>2600</v>
      </c>
      <c r="M1380" t="s">
        <v>2616</v>
      </c>
    </row>
    <row r="1381" spans="1:14">
      <c r="A1381" s="1">
        <f>HYPERLINK("https://lsnyc.legalserver.org/matter/dynamic-profile/view/1883605","18-1883605")</f>
        <v>0</v>
      </c>
      <c r="B1381" t="s">
        <v>14</v>
      </c>
      <c r="C1381" t="s">
        <v>26</v>
      </c>
      <c r="D1381" t="s">
        <v>1134</v>
      </c>
      <c r="E1381" t="s">
        <v>2385</v>
      </c>
      <c r="F1381" t="s">
        <v>2438</v>
      </c>
      <c r="I1381" t="s">
        <v>2446</v>
      </c>
      <c r="J1381" t="s">
        <v>2450</v>
      </c>
      <c r="K1381" t="s">
        <v>2569</v>
      </c>
      <c r="M1381" t="s">
        <v>2616</v>
      </c>
    </row>
    <row r="1382" spans="1:14">
      <c r="A1382" s="1">
        <f>HYPERLINK("https://lsnyc.legalserver.org/matter/dynamic-profile/view/1883611","18-1883611")</f>
        <v>0</v>
      </c>
      <c r="B1382" t="s">
        <v>14</v>
      </c>
      <c r="C1382" t="s">
        <v>26</v>
      </c>
      <c r="D1382" t="s">
        <v>1134</v>
      </c>
      <c r="E1382" t="s">
        <v>2391</v>
      </c>
      <c r="F1382" t="s">
        <v>2437</v>
      </c>
      <c r="I1382" t="s">
        <v>2446</v>
      </c>
      <c r="J1382" t="s">
        <v>2450</v>
      </c>
      <c r="K1382" t="s">
        <v>2569</v>
      </c>
      <c r="M1382" t="s">
        <v>2615</v>
      </c>
    </row>
    <row r="1383" spans="1:14">
      <c r="A1383" s="1">
        <f>HYPERLINK("https://lsnyc.legalserver.org/matter/dynamic-profile/view/1883676","18-1883676")</f>
        <v>0</v>
      </c>
      <c r="B1383" t="s">
        <v>14</v>
      </c>
      <c r="C1383" t="s">
        <v>21</v>
      </c>
      <c r="D1383" t="s">
        <v>1135</v>
      </c>
      <c r="E1383" t="s">
        <v>2376</v>
      </c>
      <c r="F1383" t="s">
        <v>2437</v>
      </c>
      <c r="I1383" t="s">
        <v>2446</v>
      </c>
      <c r="J1383" t="s">
        <v>2450</v>
      </c>
      <c r="L1383" t="s">
        <v>2605</v>
      </c>
      <c r="M1383" t="s">
        <v>2618</v>
      </c>
      <c r="N1383" t="s">
        <v>2649</v>
      </c>
    </row>
    <row r="1384" spans="1:14">
      <c r="A1384" s="1">
        <f>HYPERLINK("https://lsnyc.legalserver.org/matter/dynamic-profile/view/1883531","18-1883531")</f>
        <v>0</v>
      </c>
      <c r="B1384" t="s">
        <v>19</v>
      </c>
      <c r="C1384" t="s">
        <v>47</v>
      </c>
      <c r="D1384" t="s">
        <v>1136</v>
      </c>
      <c r="E1384" t="s">
        <v>2408</v>
      </c>
      <c r="F1384" t="s">
        <v>2437</v>
      </c>
      <c r="I1384" t="s">
        <v>2446</v>
      </c>
      <c r="J1384" t="s">
        <v>2516</v>
      </c>
      <c r="K1384" t="s">
        <v>2572</v>
      </c>
      <c r="L1384" t="s">
        <v>2600</v>
      </c>
      <c r="M1384" t="s">
        <v>2619</v>
      </c>
    </row>
    <row r="1385" spans="1:14">
      <c r="A1385" s="1">
        <f>HYPERLINK("https://lsnyc.legalserver.org/matter/dynamic-profile/view/1883108","18-1883108")</f>
        <v>0</v>
      </c>
      <c r="B1385" t="s">
        <v>15</v>
      </c>
      <c r="C1385" t="s">
        <v>39</v>
      </c>
      <c r="D1385" t="s">
        <v>1137</v>
      </c>
      <c r="E1385" t="s">
        <v>2385</v>
      </c>
      <c r="F1385" t="s">
        <v>2439</v>
      </c>
      <c r="I1385" t="s">
        <v>2446</v>
      </c>
      <c r="J1385" t="s">
        <v>2450</v>
      </c>
      <c r="K1385" t="s">
        <v>2569</v>
      </c>
      <c r="L1385" t="s">
        <v>2601</v>
      </c>
      <c r="M1385" t="s">
        <v>2631</v>
      </c>
    </row>
    <row r="1386" spans="1:14">
      <c r="A1386" s="1">
        <f>HYPERLINK("https://lsnyc.legalserver.org/matter/dynamic-profile/view/1881133","18-1881133")</f>
        <v>0</v>
      </c>
      <c r="B1386" t="s">
        <v>16</v>
      </c>
      <c r="C1386" t="s">
        <v>46</v>
      </c>
      <c r="D1386" t="s">
        <v>800</v>
      </c>
      <c r="E1386" t="s">
        <v>2408</v>
      </c>
      <c r="F1386" t="s">
        <v>2437</v>
      </c>
      <c r="I1386" t="s">
        <v>2446</v>
      </c>
      <c r="J1386" t="s">
        <v>2518</v>
      </c>
      <c r="K1386" t="s">
        <v>2572</v>
      </c>
      <c r="M1386" t="s">
        <v>2619</v>
      </c>
    </row>
    <row r="1387" spans="1:14">
      <c r="A1387" s="1">
        <f>HYPERLINK("https://lsnyc.legalserver.org/matter/dynamic-profile/view/1883486","18-1883486")</f>
        <v>0</v>
      </c>
      <c r="B1387" t="s">
        <v>15</v>
      </c>
      <c r="C1387" t="s">
        <v>32</v>
      </c>
      <c r="D1387" t="s">
        <v>1138</v>
      </c>
      <c r="E1387" t="s">
        <v>2374</v>
      </c>
      <c r="F1387" t="s">
        <v>2440</v>
      </c>
      <c r="J1387" t="s">
        <v>2450</v>
      </c>
      <c r="K1387" t="s">
        <v>2569</v>
      </c>
      <c r="L1387" t="s">
        <v>2602</v>
      </c>
      <c r="M1387" t="s">
        <v>2631</v>
      </c>
    </row>
    <row r="1388" spans="1:14">
      <c r="A1388" s="1">
        <f>HYPERLINK("https://lsnyc.legalserver.org/matter/dynamic-profile/view/1883522","18-1883522")</f>
        <v>0</v>
      </c>
      <c r="B1388" t="s">
        <v>19</v>
      </c>
      <c r="C1388" t="s">
        <v>54</v>
      </c>
      <c r="D1388" t="s">
        <v>1139</v>
      </c>
      <c r="E1388" t="s">
        <v>2374</v>
      </c>
      <c r="F1388" t="s">
        <v>2438</v>
      </c>
      <c r="I1388" t="s">
        <v>2446</v>
      </c>
      <c r="J1388" t="s">
        <v>2450</v>
      </c>
      <c r="K1388" t="s">
        <v>2569</v>
      </c>
      <c r="L1388" t="s">
        <v>2600</v>
      </c>
      <c r="M1388" t="s">
        <v>2616</v>
      </c>
    </row>
    <row r="1389" spans="1:14">
      <c r="A1389" s="1">
        <f>HYPERLINK("https://lsnyc.legalserver.org/matter/dynamic-profile/view/1883406","18-1883406")</f>
        <v>0</v>
      </c>
      <c r="B1389" t="s">
        <v>14</v>
      </c>
      <c r="C1389" t="s">
        <v>26</v>
      </c>
      <c r="D1389" t="s">
        <v>1140</v>
      </c>
      <c r="E1389" t="s">
        <v>2387</v>
      </c>
      <c r="F1389" t="s">
        <v>2437</v>
      </c>
      <c r="I1389" t="s">
        <v>2446</v>
      </c>
      <c r="J1389" t="s">
        <v>2457</v>
      </c>
      <c r="K1389" t="s">
        <v>2569</v>
      </c>
      <c r="M1389" t="s">
        <v>2629</v>
      </c>
    </row>
    <row r="1390" spans="1:14">
      <c r="A1390" s="1">
        <f>HYPERLINK("https://lsnyc.legalserver.org/matter/dynamic-profile/view/1883441","18-1883441")</f>
        <v>0</v>
      </c>
      <c r="B1390" t="s">
        <v>17</v>
      </c>
      <c r="C1390" t="s">
        <v>42</v>
      </c>
      <c r="D1390" t="s">
        <v>495</v>
      </c>
      <c r="E1390" t="s">
        <v>2374</v>
      </c>
      <c r="F1390" t="s">
        <v>2438</v>
      </c>
      <c r="I1390" t="s">
        <v>2446</v>
      </c>
      <c r="J1390" t="s">
        <v>2465</v>
      </c>
      <c r="K1390" t="s">
        <v>2569</v>
      </c>
      <c r="L1390" t="s">
        <v>2600</v>
      </c>
      <c r="M1390" t="s">
        <v>2616</v>
      </c>
    </row>
    <row r="1391" spans="1:14">
      <c r="A1391" s="1">
        <f>HYPERLINK("https://lsnyc.legalserver.org/matter/dynamic-profile/view/1883250","18-1883250")</f>
        <v>0</v>
      </c>
      <c r="B1391" t="s">
        <v>18</v>
      </c>
      <c r="C1391" t="s">
        <v>27</v>
      </c>
      <c r="D1391" t="s">
        <v>217</v>
      </c>
      <c r="E1391" t="s">
        <v>2393</v>
      </c>
      <c r="F1391" t="s">
        <v>2437</v>
      </c>
      <c r="I1391" t="s">
        <v>2446</v>
      </c>
      <c r="J1391" t="s">
        <v>2476</v>
      </c>
      <c r="K1391" t="s">
        <v>2572</v>
      </c>
      <c r="L1391" t="s">
        <v>2600</v>
      </c>
      <c r="M1391" t="s">
        <v>2626</v>
      </c>
    </row>
    <row r="1392" spans="1:14">
      <c r="A1392" s="1">
        <f>HYPERLINK("https://lsnyc.legalserver.org/matter/dynamic-profile/view/1883285","18-1883285")</f>
        <v>0</v>
      </c>
      <c r="B1392" t="s">
        <v>19</v>
      </c>
      <c r="C1392" t="s">
        <v>47</v>
      </c>
      <c r="D1392" t="s">
        <v>429</v>
      </c>
      <c r="E1392" t="s">
        <v>2375</v>
      </c>
      <c r="F1392" t="s">
        <v>2437</v>
      </c>
      <c r="I1392" t="s">
        <v>2446</v>
      </c>
      <c r="J1392" t="s">
        <v>2460</v>
      </c>
      <c r="K1392" t="s">
        <v>2572</v>
      </c>
      <c r="L1392" t="s">
        <v>2600</v>
      </c>
      <c r="M1392" t="s">
        <v>2626</v>
      </c>
      <c r="N1392" t="s">
        <v>2649</v>
      </c>
    </row>
    <row r="1393" spans="1:13">
      <c r="A1393" s="1">
        <f>HYPERLINK("https://lsnyc.legalserver.org/matter/dynamic-profile/view/1870885","18-1870885")</f>
        <v>0</v>
      </c>
      <c r="B1393" t="s">
        <v>15</v>
      </c>
      <c r="C1393" t="s">
        <v>32</v>
      </c>
      <c r="D1393" t="s">
        <v>1141</v>
      </c>
      <c r="E1393" t="s">
        <v>2385</v>
      </c>
      <c r="F1393" t="s">
        <v>2438</v>
      </c>
      <c r="J1393" t="s">
        <v>2449</v>
      </c>
      <c r="K1393" t="s">
        <v>2569</v>
      </c>
      <c r="L1393" t="s">
        <v>2600</v>
      </c>
      <c r="M1393" t="s">
        <v>2616</v>
      </c>
    </row>
    <row r="1394" spans="1:13">
      <c r="A1394" s="1">
        <f>HYPERLINK("https://lsnyc.legalserver.org/matter/dynamic-profile/view/1874751","18-1874751")</f>
        <v>0</v>
      </c>
      <c r="B1394" t="s">
        <v>15</v>
      </c>
      <c r="C1394" t="s">
        <v>37</v>
      </c>
      <c r="D1394" t="s">
        <v>1142</v>
      </c>
      <c r="E1394" t="s">
        <v>2386</v>
      </c>
      <c r="F1394" t="s">
        <v>2437</v>
      </c>
      <c r="J1394" t="s">
        <v>2466</v>
      </c>
      <c r="M1394" t="s">
        <v>2627</v>
      </c>
    </row>
    <row r="1395" spans="1:13">
      <c r="A1395" s="1">
        <f>HYPERLINK("https://lsnyc.legalserver.org/matter/dynamic-profile/view/1883242","18-1883242")</f>
        <v>0</v>
      </c>
      <c r="B1395" t="s">
        <v>16</v>
      </c>
      <c r="C1395" t="s">
        <v>46</v>
      </c>
      <c r="D1395" t="s">
        <v>1143</v>
      </c>
      <c r="E1395" t="s">
        <v>2390</v>
      </c>
      <c r="F1395" t="s">
        <v>2437</v>
      </c>
      <c r="I1395" t="s">
        <v>2446</v>
      </c>
      <c r="J1395" t="s">
        <v>2448</v>
      </c>
      <c r="K1395" t="s">
        <v>2569</v>
      </c>
      <c r="M1395" t="s">
        <v>2619</v>
      </c>
    </row>
    <row r="1396" spans="1:13">
      <c r="A1396" s="1">
        <f>HYPERLINK("https://lsnyc.legalserver.org/matter/dynamic-profile/view/1883274","18-1883274")</f>
        <v>0</v>
      </c>
      <c r="B1396" t="s">
        <v>18</v>
      </c>
      <c r="C1396" t="s">
        <v>27</v>
      </c>
      <c r="D1396" t="s">
        <v>260</v>
      </c>
      <c r="E1396" t="s">
        <v>2385</v>
      </c>
      <c r="F1396" t="s">
        <v>2438</v>
      </c>
      <c r="J1396" t="s">
        <v>2473</v>
      </c>
      <c r="K1396" t="s">
        <v>2572</v>
      </c>
      <c r="L1396" t="s">
        <v>2600</v>
      </c>
      <c r="M1396" t="s">
        <v>2616</v>
      </c>
    </row>
    <row r="1397" spans="1:13">
      <c r="A1397" s="1">
        <f>HYPERLINK("https://lsnyc.legalserver.org/matter/dynamic-profile/view/1883292","18-1883292")</f>
        <v>0</v>
      </c>
      <c r="B1397" t="s">
        <v>18</v>
      </c>
      <c r="C1397" t="s">
        <v>27</v>
      </c>
      <c r="D1397" t="s">
        <v>739</v>
      </c>
      <c r="E1397" t="s">
        <v>2387</v>
      </c>
      <c r="F1397" t="s">
        <v>2437</v>
      </c>
      <c r="J1397" t="s">
        <v>2461</v>
      </c>
      <c r="K1397" t="s">
        <v>2592</v>
      </c>
      <c r="M1397" t="s">
        <v>2629</v>
      </c>
    </row>
    <row r="1398" spans="1:13">
      <c r="A1398" s="1">
        <f>HYPERLINK("https://lsnyc.legalserver.org/matter/dynamic-profile/view/1883293","18-1883293")</f>
        <v>0</v>
      </c>
      <c r="B1398" t="s">
        <v>14</v>
      </c>
      <c r="C1398" t="s">
        <v>26</v>
      </c>
      <c r="D1398" t="s">
        <v>289</v>
      </c>
      <c r="E1398" t="s">
        <v>2391</v>
      </c>
      <c r="F1398" t="s">
        <v>2437</v>
      </c>
      <c r="I1398" t="s">
        <v>2446</v>
      </c>
      <c r="J1398" t="s">
        <v>2450</v>
      </c>
      <c r="K1398" t="s">
        <v>2569</v>
      </c>
      <c r="M1398" t="s">
        <v>2615</v>
      </c>
    </row>
    <row r="1399" spans="1:13">
      <c r="A1399" s="1">
        <f>HYPERLINK("https://lsnyc.legalserver.org/matter/dynamic-profile/view/1883358","18-1883358")</f>
        <v>0</v>
      </c>
      <c r="B1399" t="s">
        <v>15</v>
      </c>
      <c r="C1399" t="s">
        <v>49</v>
      </c>
      <c r="D1399" t="s">
        <v>1144</v>
      </c>
      <c r="E1399" t="s">
        <v>2394</v>
      </c>
      <c r="F1399" t="s">
        <v>2437</v>
      </c>
      <c r="G1399" t="s">
        <v>2444</v>
      </c>
      <c r="I1399" t="s">
        <v>2446</v>
      </c>
      <c r="J1399" t="s">
        <v>2479</v>
      </c>
      <c r="K1399" t="s">
        <v>2572</v>
      </c>
      <c r="M1399" t="s">
        <v>2627</v>
      </c>
    </row>
    <row r="1400" spans="1:13">
      <c r="A1400" s="1">
        <f>HYPERLINK("https://lsnyc.legalserver.org/matter/dynamic-profile/view/1883181","18-1883181")</f>
        <v>0</v>
      </c>
      <c r="B1400" t="s">
        <v>18</v>
      </c>
      <c r="C1400" t="s">
        <v>45</v>
      </c>
      <c r="D1400" t="s">
        <v>1145</v>
      </c>
      <c r="E1400" t="s">
        <v>2381</v>
      </c>
      <c r="F1400" t="s">
        <v>2439</v>
      </c>
      <c r="I1400" t="s">
        <v>2446</v>
      </c>
      <c r="J1400" t="s">
        <v>2461</v>
      </c>
      <c r="K1400" t="s">
        <v>2592</v>
      </c>
      <c r="L1400" t="s">
        <v>2602</v>
      </c>
      <c r="M1400" t="s">
        <v>2631</v>
      </c>
    </row>
    <row r="1401" spans="1:13">
      <c r="A1401" s="1">
        <f>HYPERLINK("https://lsnyc.legalserver.org/matter/dynamic-profile/view/1883205","18-1883205")</f>
        <v>0</v>
      </c>
      <c r="B1401" t="s">
        <v>15</v>
      </c>
      <c r="C1401" t="s">
        <v>37</v>
      </c>
      <c r="D1401" t="s">
        <v>412</v>
      </c>
      <c r="E1401" t="s">
        <v>2376</v>
      </c>
      <c r="F1401" t="s">
        <v>2437</v>
      </c>
      <c r="I1401" t="s">
        <v>2446</v>
      </c>
      <c r="J1401" t="s">
        <v>2463</v>
      </c>
      <c r="K1401" t="s">
        <v>2575</v>
      </c>
      <c r="L1401" t="s">
        <v>2600</v>
      </c>
      <c r="M1401" t="s">
        <v>2618</v>
      </c>
    </row>
    <row r="1402" spans="1:13">
      <c r="A1402" s="1">
        <f>HYPERLINK("https://lsnyc.legalserver.org/matter/dynamic-profile/view/1883324","18-1883324")</f>
        <v>0</v>
      </c>
      <c r="B1402" t="s">
        <v>17</v>
      </c>
      <c r="C1402" t="s">
        <v>42</v>
      </c>
      <c r="D1402" t="s">
        <v>1146</v>
      </c>
      <c r="E1402" t="s">
        <v>2406</v>
      </c>
      <c r="F1402" t="s">
        <v>2437</v>
      </c>
      <c r="I1402" t="s">
        <v>2446</v>
      </c>
      <c r="J1402" t="s">
        <v>2457</v>
      </c>
      <c r="K1402" t="s">
        <v>2569</v>
      </c>
      <c r="L1402" t="s">
        <v>2600</v>
      </c>
      <c r="M1402" t="s">
        <v>2642</v>
      </c>
    </row>
    <row r="1403" spans="1:13">
      <c r="A1403" s="1">
        <f>HYPERLINK("https://lsnyc.legalserver.org/matter/dynamic-profile/view/1882978","18-1882978")</f>
        <v>0</v>
      </c>
      <c r="B1403" t="s">
        <v>16</v>
      </c>
      <c r="C1403" t="s">
        <v>46</v>
      </c>
      <c r="D1403" t="s">
        <v>1147</v>
      </c>
      <c r="E1403" t="s">
        <v>2385</v>
      </c>
      <c r="F1403" t="s">
        <v>2439</v>
      </c>
      <c r="I1403" t="s">
        <v>2446</v>
      </c>
      <c r="J1403" t="s">
        <v>2508</v>
      </c>
      <c r="K1403" t="s">
        <v>2582</v>
      </c>
      <c r="L1403" t="s">
        <v>2602</v>
      </c>
      <c r="M1403" t="s">
        <v>2631</v>
      </c>
    </row>
    <row r="1404" spans="1:13">
      <c r="A1404" s="1">
        <f>HYPERLINK("https://lsnyc.legalserver.org/matter/dynamic-profile/view/1882985","18-1882985")</f>
        <v>0</v>
      </c>
      <c r="B1404" t="s">
        <v>16</v>
      </c>
      <c r="C1404" t="s">
        <v>46</v>
      </c>
      <c r="D1404" t="s">
        <v>1148</v>
      </c>
      <c r="E1404" t="s">
        <v>2375</v>
      </c>
      <c r="F1404" t="s">
        <v>2439</v>
      </c>
      <c r="I1404" t="s">
        <v>2446</v>
      </c>
      <c r="J1404" t="s">
        <v>2452</v>
      </c>
      <c r="K1404" t="s">
        <v>2572</v>
      </c>
      <c r="L1404" t="s">
        <v>2601</v>
      </c>
      <c r="M1404" t="s">
        <v>2631</v>
      </c>
    </row>
    <row r="1405" spans="1:13">
      <c r="A1405" s="1">
        <f>HYPERLINK("https://lsnyc.legalserver.org/matter/dynamic-profile/view/1883009","18-1883009")</f>
        <v>0</v>
      </c>
      <c r="B1405" t="s">
        <v>18</v>
      </c>
      <c r="C1405" t="s">
        <v>34</v>
      </c>
      <c r="D1405" t="s">
        <v>1149</v>
      </c>
      <c r="E1405" t="s">
        <v>2393</v>
      </c>
      <c r="F1405" t="s">
        <v>2437</v>
      </c>
      <c r="I1405" t="s">
        <v>2446</v>
      </c>
      <c r="J1405" t="s">
        <v>2449</v>
      </c>
      <c r="K1405" t="s">
        <v>2569</v>
      </c>
      <c r="L1405" t="s">
        <v>2608</v>
      </c>
      <c r="M1405" t="s">
        <v>2637</v>
      </c>
    </row>
    <row r="1406" spans="1:13">
      <c r="A1406" s="1">
        <f>HYPERLINK("https://lsnyc.legalserver.org/matter/dynamic-profile/view/1883023","18-1883023")</f>
        <v>0</v>
      </c>
      <c r="B1406" t="s">
        <v>18</v>
      </c>
      <c r="C1406" t="s">
        <v>34</v>
      </c>
      <c r="D1406" t="s">
        <v>1150</v>
      </c>
      <c r="E1406" t="s">
        <v>2393</v>
      </c>
      <c r="F1406" t="s">
        <v>2437</v>
      </c>
      <c r="I1406" t="s">
        <v>2446</v>
      </c>
      <c r="J1406" t="s">
        <v>2449</v>
      </c>
      <c r="K1406" t="s">
        <v>2569</v>
      </c>
      <c r="L1406" t="s">
        <v>2608</v>
      </c>
      <c r="M1406" t="s">
        <v>2637</v>
      </c>
    </row>
    <row r="1407" spans="1:13">
      <c r="A1407" s="1">
        <f>HYPERLINK("https://lsnyc.legalserver.org/matter/dynamic-profile/view/1883005","18-1883005")</f>
        <v>0</v>
      </c>
      <c r="B1407" t="s">
        <v>18</v>
      </c>
      <c r="C1407" t="s">
        <v>34</v>
      </c>
      <c r="D1407" t="s">
        <v>1149</v>
      </c>
      <c r="E1407" t="s">
        <v>2406</v>
      </c>
      <c r="F1407" t="s">
        <v>2437</v>
      </c>
      <c r="J1407" t="s">
        <v>2449</v>
      </c>
      <c r="K1407" t="s">
        <v>2569</v>
      </c>
      <c r="L1407" t="s">
        <v>2600</v>
      </c>
      <c r="M1407" t="s">
        <v>2642</v>
      </c>
    </row>
    <row r="1408" spans="1:13">
      <c r="A1408" s="1">
        <f>HYPERLINK("https://lsnyc.legalserver.org/matter/dynamic-profile/view/1883022","18-1883022")</f>
        <v>0</v>
      </c>
      <c r="B1408" t="s">
        <v>18</v>
      </c>
      <c r="C1408" t="s">
        <v>34</v>
      </c>
      <c r="D1408" t="s">
        <v>1150</v>
      </c>
      <c r="E1408" t="s">
        <v>2406</v>
      </c>
      <c r="F1408" t="s">
        <v>2437</v>
      </c>
      <c r="J1408" t="s">
        <v>2449</v>
      </c>
      <c r="K1408" t="s">
        <v>2569</v>
      </c>
      <c r="L1408" t="s">
        <v>2600</v>
      </c>
      <c r="M1408" t="s">
        <v>2642</v>
      </c>
    </row>
    <row r="1409" spans="1:13">
      <c r="A1409" s="1">
        <f>HYPERLINK("https://lsnyc.legalserver.org/matter/dynamic-profile/view/1882863","18-1882863")</f>
        <v>0</v>
      </c>
      <c r="B1409" t="s">
        <v>16</v>
      </c>
      <c r="C1409" t="s">
        <v>67</v>
      </c>
      <c r="D1409" t="s">
        <v>1151</v>
      </c>
      <c r="E1409" t="s">
        <v>2390</v>
      </c>
      <c r="F1409" t="s">
        <v>2439</v>
      </c>
      <c r="I1409" t="s">
        <v>2446</v>
      </c>
      <c r="J1409" t="s">
        <v>2452</v>
      </c>
      <c r="K1409" t="s">
        <v>2572</v>
      </c>
      <c r="L1409" t="s">
        <v>2601</v>
      </c>
      <c r="M1409" t="s">
        <v>2631</v>
      </c>
    </row>
    <row r="1410" spans="1:13">
      <c r="A1410" s="1">
        <f>HYPERLINK("https://lsnyc.legalserver.org/matter/dynamic-profile/view/1882794","18-1882794")</f>
        <v>0</v>
      </c>
      <c r="B1410" t="s">
        <v>16</v>
      </c>
      <c r="C1410" t="s">
        <v>46</v>
      </c>
      <c r="D1410" t="s">
        <v>534</v>
      </c>
      <c r="E1410" t="s">
        <v>2390</v>
      </c>
      <c r="F1410" t="s">
        <v>2437</v>
      </c>
      <c r="I1410" t="s">
        <v>2446</v>
      </c>
      <c r="J1410" t="s">
        <v>2465</v>
      </c>
      <c r="K1410" t="s">
        <v>2572</v>
      </c>
      <c r="M1410" t="s">
        <v>2619</v>
      </c>
    </row>
    <row r="1411" spans="1:13">
      <c r="A1411" s="1">
        <f>HYPERLINK("https://lsnyc.legalserver.org/matter/dynamic-profile/view/1882795","18-1882795")</f>
        <v>0</v>
      </c>
      <c r="B1411" t="s">
        <v>14</v>
      </c>
      <c r="C1411" t="s">
        <v>26</v>
      </c>
      <c r="D1411" t="s">
        <v>389</v>
      </c>
      <c r="E1411" t="s">
        <v>2385</v>
      </c>
      <c r="F1411" t="s">
        <v>2438</v>
      </c>
      <c r="I1411" t="s">
        <v>2446</v>
      </c>
      <c r="J1411" t="s">
        <v>2450</v>
      </c>
      <c r="K1411" t="s">
        <v>2569</v>
      </c>
      <c r="M1411" t="s">
        <v>2616</v>
      </c>
    </row>
    <row r="1412" spans="1:13">
      <c r="A1412" s="1">
        <f>HYPERLINK("https://lsnyc.legalserver.org/matter/dynamic-profile/view/1882862","18-1882862")</f>
        <v>0</v>
      </c>
      <c r="B1412" t="s">
        <v>18</v>
      </c>
      <c r="C1412" t="s">
        <v>34</v>
      </c>
      <c r="D1412" t="s">
        <v>990</v>
      </c>
      <c r="E1412" t="s">
        <v>2374</v>
      </c>
      <c r="F1412" t="s">
        <v>2438</v>
      </c>
      <c r="J1412" t="s">
        <v>2449</v>
      </c>
      <c r="K1412" t="s">
        <v>2569</v>
      </c>
      <c r="L1412" t="s">
        <v>2603</v>
      </c>
      <c r="M1412" t="s">
        <v>2616</v>
      </c>
    </row>
    <row r="1413" spans="1:13">
      <c r="A1413" s="1">
        <f>HYPERLINK("https://lsnyc.legalserver.org/matter/dynamic-profile/view/1882871","18-1882871")</f>
        <v>0</v>
      </c>
      <c r="B1413" t="s">
        <v>18</v>
      </c>
      <c r="C1413" t="s">
        <v>34</v>
      </c>
      <c r="D1413" t="s">
        <v>964</v>
      </c>
      <c r="E1413" t="s">
        <v>2374</v>
      </c>
      <c r="F1413" t="s">
        <v>2438</v>
      </c>
      <c r="J1413" t="s">
        <v>2449</v>
      </c>
      <c r="K1413" t="s">
        <v>2569</v>
      </c>
      <c r="L1413" t="s">
        <v>2603</v>
      </c>
      <c r="M1413" t="s">
        <v>2616</v>
      </c>
    </row>
    <row r="1414" spans="1:13">
      <c r="A1414" s="1">
        <f>HYPERLINK("https://lsnyc.legalserver.org/matter/dynamic-profile/view/1882637","18-1882637")</f>
        <v>0</v>
      </c>
      <c r="B1414" t="s">
        <v>18</v>
      </c>
      <c r="C1414" t="s">
        <v>34</v>
      </c>
      <c r="D1414" t="s">
        <v>1152</v>
      </c>
      <c r="E1414" t="s">
        <v>2393</v>
      </c>
      <c r="F1414" t="s">
        <v>2437</v>
      </c>
      <c r="I1414" t="s">
        <v>2446</v>
      </c>
      <c r="J1414" t="s">
        <v>2448</v>
      </c>
      <c r="K1414" t="s">
        <v>2569</v>
      </c>
      <c r="L1414" t="s">
        <v>2603</v>
      </c>
      <c r="M1414" t="s">
        <v>2637</v>
      </c>
    </row>
    <row r="1415" spans="1:13">
      <c r="A1415" s="1">
        <f>HYPERLINK("https://lsnyc.legalserver.org/matter/dynamic-profile/view/1882705","18-1882705")</f>
        <v>0</v>
      </c>
      <c r="B1415" t="s">
        <v>14</v>
      </c>
      <c r="C1415" t="s">
        <v>26</v>
      </c>
      <c r="D1415" t="s">
        <v>1153</v>
      </c>
      <c r="F1415" t="s">
        <v>2440</v>
      </c>
      <c r="I1415" t="s">
        <v>2446</v>
      </c>
      <c r="J1415" t="s">
        <v>2450</v>
      </c>
      <c r="K1415" t="s">
        <v>2569</v>
      </c>
      <c r="L1415" t="s">
        <v>2602</v>
      </c>
      <c r="M1415" t="s">
        <v>2631</v>
      </c>
    </row>
    <row r="1416" spans="1:13">
      <c r="A1416" s="1">
        <f>HYPERLINK("https://lsnyc.legalserver.org/matter/dynamic-profile/view/1882645","18-1882645")</f>
        <v>0</v>
      </c>
      <c r="B1416" t="s">
        <v>16</v>
      </c>
      <c r="C1416" t="s">
        <v>24</v>
      </c>
      <c r="D1416" t="s">
        <v>1154</v>
      </c>
      <c r="E1416" t="s">
        <v>2390</v>
      </c>
      <c r="F1416" t="s">
        <v>2439</v>
      </c>
      <c r="I1416" t="s">
        <v>2446</v>
      </c>
      <c r="J1416" t="s">
        <v>2448</v>
      </c>
      <c r="K1416" t="s">
        <v>2569</v>
      </c>
      <c r="L1416" t="s">
        <v>2601</v>
      </c>
      <c r="M1416" t="s">
        <v>2631</v>
      </c>
    </row>
    <row r="1417" spans="1:13">
      <c r="A1417" s="1">
        <f>HYPERLINK("https://lsnyc.legalserver.org/matter/dynamic-profile/view/1882729","18-1882729")</f>
        <v>0</v>
      </c>
      <c r="B1417" t="s">
        <v>14</v>
      </c>
      <c r="C1417" t="s">
        <v>26</v>
      </c>
      <c r="D1417" t="s">
        <v>1155</v>
      </c>
      <c r="F1417" t="s">
        <v>2440</v>
      </c>
      <c r="I1417" t="s">
        <v>2446</v>
      </c>
      <c r="J1417" t="s">
        <v>2487</v>
      </c>
      <c r="K1417" t="s">
        <v>2572</v>
      </c>
      <c r="L1417" t="s">
        <v>2601</v>
      </c>
      <c r="M1417" t="s">
        <v>2631</v>
      </c>
    </row>
    <row r="1418" spans="1:13">
      <c r="A1418" s="1">
        <f>HYPERLINK("https://lsnyc.legalserver.org/matter/dynamic-profile/view/1882612","18-1882612")</f>
        <v>0</v>
      </c>
      <c r="B1418" t="s">
        <v>18</v>
      </c>
      <c r="C1418" t="s">
        <v>34</v>
      </c>
      <c r="D1418" t="s">
        <v>109</v>
      </c>
      <c r="E1418" t="s">
        <v>2382</v>
      </c>
      <c r="F1418" t="s">
        <v>2437</v>
      </c>
      <c r="I1418" t="s">
        <v>2446</v>
      </c>
      <c r="J1418" t="s">
        <v>2450</v>
      </c>
      <c r="K1418" t="s">
        <v>2569</v>
      </c>
      <c r="L1418" t="s">
        <v>2602</v>
      </c>
      <c r="M1418" t="s">
        <v>2623</v>
      </c>
    </row>
    <row r="1419" spans="1:13">
      <c r="A1419" s="1">
        <f>HYPERLINK("https://lsnyc.legalserver.org/matter/dynamic-profile/view/1882691","18-1882691")</f>
        <v>0</v>
      </c>
      <c r="B1419" t="s">
        <v>18</v>
      </c>
      <c r="C1419" t="s">
        <v>34</v>
      </c>
      <c r="D1419" t="s">
        <v>109</v>
      </c>
      <c r="E1419" t="s">
        <v>2376</v>
      </c>
      <c r="F1419" t="s">
        <v>2437</v>
      </c>
      <c r="I1419" t="s">
        <v>2446</v>
      </c>
      <c r="J1419" t="s">
        <v>2450</v>
      </c>
      <c r="K1419" t="s">
        <v>2569</v>
      </c>
      <c r="L1419" t="s">
        <v>2602</v>
      </c>
      <c r="M1419" t="s">
        <v>2618</v>
      </c>
    </row>
    <row r="1420" spans="1:13">
      <c r="A1420" s="1">
        <f>HYPERLINK("https://lsnyc.legalserver.org/matter/dynamic-profile/view/1882482","18-1882482")</f>
        <v>0</v>
      </c>
      <c r="B1420" t="s">
        <v>15</v>
      </c>
      <c r="C1420" t="s">
        <v>49</v>
      </c>
      <c r="D1420" t="s">
        <v>1156</v>
      </c>
      <c r="E1420" t="s">
        <v>2390</v>
      </c>
      <c r="F1420" t="s">
        <v>2437</v>
      </c>
      <c r="I1420" t="s">
        <v>2446</v>
      </c>
      <c r="J1420" t="s">
        <v>2450</v>
      </c>
      <c r="K1420" t="s">
        <v>2569</v>
      </c>
      <c r="M1420" t="s">
        <v>2619</v>
      </c>
    </row>
    <row r="1421" spans="1:13">
      <c r="A1421" s="1">
        <f>HYPERLINK("https://lsnyc.legalserver.org/matter/dynamic-profile/view/1882594","18-1882594")</f>
        <v>0</v>
      </c>
      <c r="B1421" t="s">
        <v>16</v>
      </c>
      <c r="C1421" t="s">
        <v>23</v>
      </c>
      <c r="D1421" t="s">
        <v>886</v>
      </c>
      <c r="E1421" t="s">
        <v>2390</v>
      </c>
      <c r="F1421" t="s">
        <v>2437</v>
      </c>
      <c r="I1421" t="s">
        <v>2446</v>
      </c>
      <c r="J1421" t="s">
        <v>2448</v>
      </c>
      <c r="K1421" t="s">
        <v>2569</v>
      </c>
      <c r="L1421" t="s">
        <v>2600</v>
      </c>
      <c r="M1421" t="s">
        <v>2619</v>
      </c>
    </row>
    <row r="1422" spans="1:13">
      <c r="A1422" s="1">
        <f>HYPERLINK("https://lsnyc.legalserver.org/matter/dynamic-profile/view/1882613","18-1882613")</f>
        <v>0</v>
      </c>
      <c r="B1422" t="s">
        <v>16</v>
      </c>
      <c r="C1422" t="s">
        <v>23</v>
      </c>
      <c r="D1422" t="s">
        <v>1157</v>
      </c>
      <c r="E1422" t="s">
        <v>2390</v>
      </c>
      <c r="F1422" t="s">
        <v>2437</v>
      </c>
      <c r="I1422" t="s">
        <v>2446</v>
      </c>
      <c r="J1422" t="s">
        <v>2448</v>
      </c>
      <c r="K1422" t="s">
        <v>2569</v>
      </c>
      <c r="M1422" t="s">
        <v>2619</v>
      </c>
    </row>
    <row r="1423" spans="1:13">
      <c r="A1423" s="1">
        <f>HYPERLINK("https://lsnyc.legalserver.org/matter/dynamic-profile/view/1882683","18-1882683")</f>
        <v>0</v>
      </c>
      <c r="B1423" t="s">
        <v>16</v>
      </c>
      <c r="C1423" t="s">
        <v>23</v>
      </c>
      <c r="D1423" t="s">
        <v>1158</v>
      </c>
      <c r="E1423" t="s">
        <v>2375</v>
      </c>
      <c r="F1423" t="s">
        <v>2437</v>
      </c>
      <c r="I1423" t="s">
        <v>2446</v>
      </c>
      <c r="J1423" t="s">
        <v>2509</v>
      </c>
      <c r="K1423" t="s">
        <v>2571</v>
      </c>
      <c r="M1423" t="s">
        <v>2617</v>
      </c>
    </row>
    <row r="1424" spans="1:13">
      <c r="A1424" s="1">
        <f>HYPERLINK("https://lsnyc.legalserver.org/matter/dynamic-profile/view/1882749","18-1882749")</f>
        <v>0</v>
      </c>
      <c r="B1424" t="s">
        <v>15</v>
      </c>
      <c r="C1424" t="s">
        <v>49</v>
      </c>
      <c r="D1424" t="s">
        <v>1159</v>
      </c>
      <c r="E1424" t="s">
        <v>2390</v>
      </c>
      <c r="F1424" t="s">
        <v>2437</v>
      </c>
      <c r="I1424" t="s">
        <v>2446</v>
      </c>
      <c r="J1424" t="s">
        <v>2498</v>
      </c>
      <c r="K1424" t="s">
        <v>2586</v>
      </c>
      <c r="M1424" t="s">
        <v>2619</v>
      </c>
    </row>
    <row r="1425" spans="1:13">
      <c r="A1425" s="1">
        <f>HYPERLINK("https://lsnyc.legalserver.org/matter/dynamic-profile/view/1882537","18-1882537")</f>
        <v>0</v>
      </c>
      <c r="B1425" t="s">
        <v>18</v>
      </c>
      <c r="C1425" t="s">
        <v>45</v>
      </c>
      <c r="D1425" t="s">
        <v>1160</v>
      </c>
      <c r="E1425" t="s">
        <v>2381</v>
      </c>
      <c r="F1425" t="s">
        <v>2439</v>
      </c>
      <c r="I1425" t="s">
        <v>2446</v>
      </c>
      <c r="J1425" t="s">
        <v>2497</v>
      </c>
      <c r="K1425" t="s">
        <v>2572</v>
      </c>
      <c r="L1425" t="s">
        <v>2601</v>
      </c>
      <c r="M1425" t="s">
        <v>2631</v>
      </c>
    </row>
    <row r="1426" spans="1:13">
      <c r="A1426" s="1">
        <f>HYPERLINK("https://lsnyc.legalserver.org/matter/dynamic-profile/view/1882539","18-1882539")</f>
        <v>0</v>
      </c>
      <c r="B1426" t="s">
        <v>16</v>
      </c>
      <c r="C1426" t="s">
        <v>24</v>
      </c>
      <c r="D1426" t="s">
        <v>1161</v>
      </c>
      <c r="E1426" t="s">
        <v>2390</v>
      </c>
      <c r="F1426" t="s">
        <v>2439</v>
      </c>
      <c r="I1426" t="s">
        <v>2446</v>
      </c>
      <c r="J1426" t="s">
        <v>2506</v>
      </c>
      <c r="K1426" t="s">
        <v>2572</v>
      </c>
      <c r="L1426" t="s">
        <v>2601</v>
      </c>
      <c r="M1426" t="s">
        <v>2631</v>
      </c>
    </row>
    <row r="1427" spans="1:13">
      <c r="A1427" s="1">
        <f>HYPERLINK("https://lsnyc.legalserver.org/matter/dynamic-profile/view/1882454","18-1882454")</f>
        <v>0</v>
      </c>
      <c r="B1427" t="s">
        <v>14</v>
      </c>
      <c r="C1427" t="s">
        <v>20</v>
      </c>
      <c r="D1427" t="s">
        <v>1068</v>
      </c>
      <c r="E1427" t="s">
        <v>2387</v>
      </c>
      <c r="F1427" t="s">
        <v>2437</v>
      </c>
      <c r="J1427" t="s">
        <v>2457</v>
      </c>
      <c r="K1427" t="s">
        <v>2569</v>
      </c>
      <c r="L1427" t="s">
        <v>2608</v>
      </c>
      <c r="M1427" t="s">
        <v>2629</v>
      </c>
    </row>
    <row r="1428" spans="1:13">
      <c r="A1428" s="1">
        <f>HYPERLINK("https://lsnyc.legalserver.org/matter/dynamic-profile/view/1882460","18-1882460")</f>
        <v>0</v>
      </c>
      <c r="B1428" t="s">
        <v>16</v>
      </c>
      <c r="C1428" t="s">
        <v>23</v>
      </c>
      <c r="D1428" t="s">
        <v>1162</v>
      </c>
      <c r="E1428" t="s">
        <v>2390</v>
      </c>
      <c r="F1428" t="s">
        <v>2437</v>
      </c>
      <c r="I1428" t="s">
        <v>2446</v>
      </c>
      <c r="J1428" t="s">
        <v>2533</v>
      </c>
      <c r="K1428" t="s">
        <v>2572</v>
      </c>
      <c r="M1428" t="s">
        <v>2619</v>
      </c>
    </row>
    <row r="1429" spans="1:13">
      <c r="A1429" s="1">
        <f>HYPERLINK("https://lsnyc.legalserver.org/matter/dynamic-profile/view/1882467","18-1882467")</f>
        <v>0</v>
      </c>
      <c r="B1429" t="s">
        <v>17</v>
      </c>
      <c r="C1429" t="s">
        <v>28</v>
      </c>
      <c r="D1429" t="s">
        <v>1163</v>
      </c>
      <c r="E1429" t="s">
        <v>2374</v>
      </c>
      <c r="F1429" t="s">
        <v>2438</v>
      </c>
      <c r="I1429" t="s">
        <v>2446</v>
      </c>
      <c r="J1429" t="s">
        <v>2450</v>
      </c>
      <c r="K1429" t="s">
        <v>2569</v>
      </c>
      <c r="M1429" t="s">
        <v>2616</v>
      </c>
    </row>
    <row r="1430" spans="1:13">
      <c r="A1430" s="1">
        <f>HYPERLINK("https://lsnyc.legalserver.org/matter/dynamic-profile/view/1882472","18-1882472")</f>
        <v>0</v>
      </c>
      <c r="B1430" t="s">
        <v>16</v>
      </c>
      <c r="C1430" t="s">
        <v>23</v>
      </c>
      <c r="D1430" t="s">
        <v>1164</v>
      </c>
      <c r="E1430" t="s">
        <v>2374</v>
      </c>
      <c r="F1430" t="s">
        <v>2438</v>
      </c>
      <c r="I1430" t="s">
        <v>2446</v>
      </c>
      <c r="J1430" t="s">
        <v>2450</v>
      </c>
      <c r="K1430" t="s">
        <v>2569</v>
      </c>
      <c r="M1430" t="s">
        <v>2616</v>
      </c>
    </row>
    <row r="1431" spans="1:13">
      <c r="A1431" s="1">
        <f>HYPERLINK("https://lsnyc.legalserver.org/matter/dynamic-profile/view/1882479","18-1882479")</f>
        <v>0</v>
      </c>
      <c r="B1431" t="s">
        <v>16</v>
      </c>
      <c r="C1431" t="s">
        <v>23</v>
      </c>
      <c r="D1431" t="s">
        <v>1165</v>
      </c>
      <c r="E1431" t="s">
        <v>2374</v>
      </c>
      <c r="F1431" t="s">
        <v>2438</v>
      </c>
      <c r="G1431" t="s">
        <v>2444</v>
      </c>
      <c r="I1431" t="s">
        <v>2446</v>
      </c>
      <c r="J1431" t="s">
        <v>2450</v>
      </c>
      <c r="M1431" t="s">
        <v>2616</v>
      </c>
    </row>
    <row r="1432" spans="1:13">
      <c r="A1432" s="1">
        <f>HYPERLINK("https://lsnyc.legalserver.org/matter/dynamic-profile/view/1882339","18-1882339")</f>
        <v>0</v>
      </c>
      <c r="B1432" t="s">
        <v>19</v>
      </c>
      <c r="C1432" t="s">
        <v>38</v>
      </c>
      <c r="D1432" t="s">
        <v>1166</v>
      </c>
      <c r="E1432" t="s">
        <v>2396</v>
      </c>
      <c r="F1432" t="s">
        <v>2439</v>
      </c>
      <c r="I1432" t="s">
        <v>2446</v>
      </c>
      <c r="J1432" t="s">
        <v>2454</v>
      </c>
      <c r="K1432" t="s">
        <v>2572</v>
      </c>
      <c r="L1432" t="s">
        <v>2601</v>
      </c>
      <c r="M1432" t="s">
        <v>2631</v>
      </c>
    </row>
    <row r="1433" spans="1:13">
      <c r="A1433" s="1">
        <f>HYPERLINK("https://lsnyc.legalserver.org/matter/dynamic-profile/view/1882335","18-1882335")</f>
        <v>0</v>
      </c>
      <c r="B1433" t="s">
        <v>17</v>
      </c>
      <c r="C1433" t="s">
        <v>42</v>
      </c>
      <c r="D1433" t="s">
        <v>1167</v>
      </c>
      <c r="E1433" t="s">
        <v>2385</v>
      </c>
      <c r="F1433" t="s">
        <v>2440</v>
      </c>
      <c r="I1433" t="s">
        <v>2446</v>
      </c>
      <c r="J1433" t="s">
        <v>2450</v>
      </c>
      <c r="K1433" t="s">
        <v>2569</v>
      </c>
      <c r="L1433" t="s">
        <v>2601</v>
      </c>
      <c r="M1433" t="s">
        <v>2631</v>
      </c>
    </row>
    <row r="1434" spans="1:13">
      <c r="A1434" s="1">
        <f>HYPERLINK("https://lsnyc.legalserver.org/matter/dynamic-profile/view/1882341","18-1882341")</f>
        <v>0</v>
      </c>
      <c r="B1434" t="s">
        <v>17</v>
      </c>
      <c r="C1434" t="s">
        <v>42</v>
      </c>
      <c r="D1434" t="s">
        <v>1168</v>
      </c>
      <c r="E1434" t="s">
        <v>2385</v>
      </c>
      <c r="F1434" t="s">
        <v>2440</v>
      </c>
      <c r="I1434" t="s">
        <v>2446</v>
      </c>
      <c r="J1434" t="s">
        <v>2450</v>
      </c>
      <c r="K1434" t="s">
        <v>2569</v>
      </c>
      <c r="L1434" t="s">
        <v>2601</v>
      </c>
      <c r="M1434" t="s">
        <v>2631</v>
      </c>
    </row>
    <row r="1435" spans="1:13">
      <c r="A1435" s="1">
        <f>HYPERLINK("https://lsnyc.legalserver.org/matter/dynamic-profile/view/1882371","18-1882371")</f>
        <v>0</v>
      </c>
      <c r="B1435" t="s">
        <v>15</v>
      </c>
      <c r="C1435" t="s">
        <v>39</v>
      </c>
      <c r="D1435" t="s">
        <v>1169</v>
      </c>
      <c r="E1435" t="s">
        <v>2374</v>
      </c>
      <c r="F1435" t="s">
        <v>2439</v>
      </c>
      <c r="I1435" t="s">
        <v>2446</v>
      </c>
      <c r="J1435" t="s">
        <v>2465</v>
      </c>
      <c r="K1435" t="s">
        <v>2569</v>
      </c>
      <c r="L1435" t="s">
        <v>2602</v>
      </c>
      <c r="M1435" t="s">
        <v>2631</v>
      </c>
    </row>
    <row r="1436" spans="1:13">
      <c r="A1436" s="1">
        <f>HYPERLINK("https://lsnyc.legalserver.org/matter/dynamic-profile/view/1882274","18-1882274")</f>
        <v>0</v>
      </c>
      <c r="B1436" t="s">
        <v>14</v>
      </c>
      <c r="C1436" t="s">
        <v>26</v>
      </c>
      <c r="D1436" t="s">
        <v>1170</v>
      </c>
      <c r="F1436" t="s">
        <v>2439</v>
      </c>
      <c r="I1436" t="s">
        <v>2446</v>
      </c>
      <c r="J1436" t="s">
        <v>2450</v>
      </c>
      <c r="K1436" t="s">
        <v>2569</v>
      </c>
      <c r="L1436" t="s">
        <v>2602</v>
      </c>
      <c r="M1436" t="s">
        <v>2631</v>
      </c>
    </row>
    <row r="1437" spans="1:13">
      <c r="A1437" s="1">
        <f>HYPERLINK("https://lsnyc.legalserver.org/matter/dynamic-profile/view/1882313","18-1882313")</f>
        <v>0</v>
      </c>
      <c r="B1437" t="s">
        <v>14</v>
      </c>
      <c r="C1437" t="s">
        <v>21</v>
      </c>
      <c r="D1437" t="s">
        <v>537</v>
      </c>
      <c r="E1437" t="s">
        <v>2373</v>
      </c>
      <c r="F1437" t="s">
        <v>2441</v>
      </c>
      <c r="G1437" t="s">
        <v>2444</v>
      </c>
      <c r="I1437" t="s">
        <v>2446</v>
      </c>
      <c r="J1437" t="s">
        <v>2450</v>
      </c>
      <c r="K1437" t="s">
        <v>2569</v>
      </c>
      <c r="L1437" t="s">
        <v>2603</v>
      </c>
      <c r="M1437" t="s">
        <v>2615</v>
      </c>
    </row>
    <row r="1438" spans="1:13">
      <c r="A1438" s="1">
        <f>HYPERLINK("https://lsnyc.legalserver.org/matter/dynamic-profile/view/1882268","18-1882268")</f>
        <v>0</v>
      </c>
      <c r="B1438" t="s">
        <v>14</v>
      </c>
      <c r="C1438" t="s">
        <v>20</v>
      </c>
      <c r="D1438" t="s">
        <v>1171</v>
      </c>
      <c r="E1438" t="s">
        <v>2383</v>
      </c>
      <c r="F1438" t="s">
        <v>2440</v>
      </c>
      <c r="I1438" t="s">
        <v>2446</v>
      </c>
      <c r="J1438" t="s">
        <v>2534</v>
      </c>
      <c r="K1438" t="s">
        <v>2572</v>
      </c>
      <c r="L1438" t="s">
        <v>2601</v>
      </c>
      <c r="M1438" t="s">
        <v>2631</v>
      </c>
    </row>
    <row r="1439" spans="1:13">
      <c r="A1439" s="1">
        <f>HYPERLINK("https://lsnyc.legalserver.org/matter/dynamic-profile/view/1882258","18-1882258")</f>
        <v>0</v>
      </c>
      <c r="B1439" t="s">
        <v>16</v>
      </c>
      <c r="C1439" t="s">
        <v>46</v>
      </c>
      <c r="D1439" t="s">
        <v>1172</v>
      </c>
      <c r="E1439" t="s">
        <v>2387</v>
      </c>
      <c r="F1439" t="s">
        <v>2437</v>
      </c>
      <c r="J1439" t="s">
        <v>2448</v>
      </c>
      <c r="K1439" t="s">
        <v>2569</v>
      </c>
      <c r="M1439" t="s">
        <v>2626</v>
      </c>
    </row>
    <row r="1440" spans="1:13">
      <c r="A1440" s="1">
        <f>HYPERLINK("https://lsnyc.legalserver.org/matter/dynamic-profile/view/1882305","18-1882305")</f>
        <v>0</v>
      </c>
      <c r="B1440" t="s">
        <v>17</v>
      </c>
      <c r="C1440" t="s">
        <v>42</v>
      </c>
      <c r="D1440" t="s">
        <v>445</v>
      </c>
      <c r="E1440" t="s">
        <v>2374</v>
      </c>
      <c r="F1440" t="s">
        <v>2438</v>
      </c>
      <c r="I1440" t="s">
        <v>2446</v>
      </c>
      <c r="J1440" t="s">
        <v>2450</v>
      </c>
      <c r="K1440" t="s">
        <v>2569</v>
      </c>
      <c r="L1440" t="s">
        <v>2600</v>
      </c>
      <c r="M1440" t="s">
        <v>2616</v>
      </c>
    </row>
    <row r="1441" spans="1:13">
      <c r="A1441" s="1">
        <f>HYPERLINK("https://lsnyc.legalserver.org/matter/dynamic-profile/view/1882147","18-1882147")</f>
        <v>0</v>
      </c>
      <c r="B1441" t="s">
        <v>18</v>
      </c>
      <c r="C1441" t="s">
        <v>45</v>
      </c>
      <c r="D1441" t="s">
        <v>1173</v>
      </c>
      <c r="E1441" t="s">
        <v>2386</v>
      </c>
      <c r="F1441" t="s">
        <v>2439</v>
      </c>
      <c r="I1441" t="s">
        <v>2446</v>
      </c>
      <c r="J1441" t="s">
        <v>2471</v>
      </c>
      <c r="K1441" t="s">
        <v>2572</v>
      </c>
      <c r="L1441" t="s">
        <v>2601</v>
      </c>
      <c r="M1441" t="s">
        <v>2631</v>
      </c>
    </row>
    <row r="1442" spans="1:13">
      <c r="A1442" s="1">
        <f>HYPERLINK("https://lsnyc.legalserver.org/matter/dynamic-profile/view/1882170","18-1882170")</f>
        <v>0</v>
      </c>
      <c r="B1442" t="s">
        <v>18</v>
      </c>
      <c r="C1442" t="s">
        <v>45</v>
      </c>
      <c r="D1442" t="s">
        <v>1174</v>
      </c>
      <c r="E1442" t="s">
        <v>2383</v>
      </c>
      <c r="F1442" t="s">
        <v>2439</v>
      </c>
      <c r="I1442" t="s">
        <v>2446</v>
      </c>
      <c r="J1442" t="s">
        <v>2456</v>
      </c>
      <c r="K1442" t="s">
        <v>2569</v>
      </c>
      <c r="L1442" t="s">
        <v>2601</v>
      </c>
      <c r="M1442" t="s">
        <v>2631</v>
      </c>
    </row>
    <row r="1443" spans="1:13">
      <c r="A1443" s="1">
        <f>HYPERLINK("https://lsnyc.legalserver.org/matter/dynamic-profile/view/1882173","18-1882173")</f>
        <v>0</v>
      </c>
      <c r="B1443" t="s">
        <v>18</v>
      </c>
      <c r="C1443" t="s">
        <v>45</v>
      </c>
      <c r="D1443" t="s">
        <v>1175</v>
      </c>
      <c r="E1443" t="s">
        <v>2383</v>
      </c>
      <c r="F1443" t="s">
        <v>2439</v>
      </c>
      <c r="I1443" t="s">
        <v>2446</v>
      </c>
      <c r="J1443" t="s">
        <v>2456</v>
      </c>
      <c r="K1443" t="s">
        <v>2572</v>
      </c>
      <c r="L1443" t="s">
        <v>2601</v>
      </c>
      <c r="M1443" t="s">
        <v>2631</v>
      </c>
    </row>
    <row r="1444" spans="1:13">
      <c r="A1444" s="1">
        <f>HYPERLINK("https://lsnyc.legalserver.org/matter/dynamic-profile/view/1882114","18-1882114")</f>
        <v>0</v>
      </c>
      <c r="B1444" t="s">
        <v>16</v>
      </c>
      <c r="C1444" t="s">
        <v>46</v>
      </c>
      <c r="D1444" t="s">
        <v>606</v>
      </c>
      <c r="E1444" t="s">
        <v>2390</v>
      </c>
      <c r="F1444" t="s">
        <v>2437</v>
      </c>
      <c r="I1444" t="s">
        <v>2446</v>
      </c>
      <c r="J1444" t="s">
        <v>2474</v>
      </c>
      <c r="K1444" t="s">
        <v>2572</v>
      </c>
      <c r="M1444" t="s">
        <v>2619</v>
      </c>
    </row>
    <row r="1445" spans="1:13">
      <c r="A1445" s="1">
        <f>HYPERLINK("https://lsnyc.legalserver.org/matter/dynamic-profile/view/1882150","18-1882150")</f>
        <v>0</v>
      </c>
      <c r="B1445" t="s">
        <v>18</v>
      </c>
      <c r="C1445" t="s">
        <v>35</v>
      </c>
      <c r="D1445" t="s">
        <v>1176</v>
      </c>
      <c r="E1445" t="s">
        <v>2394</v>
      </c>
      <c r="F1445" t="s">
        <v>2437</v>
      </c>
      <c r="J1445" t="s">
        <v>2535</v>
      </c>
      <c r="K1445" t="s">
        <v>2582</v>
      </c>
      <c r="L1445" t="s">
        <v>2600</v>
      </c>
      <c r="M1445" t="s">
        <v>2627</v>
      </c>
    </row>
    <row r="1446" spans="1:13">
      <c r="A1446" s="1">
        <f>HYPERLINK("https://lsnyc.legalserver.org/matter/dynamic-profile/view/1882167","18-1882167")</f>
        <v>0</v>
      </c>
      <c r="B1446" t="s">
        <v>18</v>
      </c>
      <c r="C1446" t="s">
        <v>35</v>
      </c>
      <c r="D1446" t="s">
        <v>1177</v>
      </c>
      <c r="E1446" t="s">
        <v>2394</v>
      </c>
      <c r="F1446" t="s">
        <v>2437</v>
      </c>
      <c r="J1446" t="s">
        <v>2535</v>
      </c>
      <c r="K1446" t="s">
        <v>2582</v>
      </c>
      <c r="L1446" t="s">
        <v>2600</v>
      </c>
      <c r="M1446" t="s">
        <v>2627</v>
      </c>
    </row>
    <row r="1447" spans="1:13">
      <c r="A1447" s="1">
        <f>HYPERLINK("https://lsnyc.legalserver.org/matter/dynamic-profile/view/1882168","18-1882168")</f>
        <v>0</v>
      </c>
      <c r="B1447" t="s">
        <v>18</v>
      </c>
      <c r="C1447" t="s">
        <v>35</v>
      </c>
      <c r="D1447" t="s">
        <v>1178</v>
      </c>
      <c r="E1447" t="s">
        <v>2394</v>
      </c>
      <c r="F1447" t="s">
        <v>2437</v>
      </c>
      <c r="I1447" t="s">
        <v>2446</v>
      </c>
      <c r="J1447" t="s">
        <v>2535</v>
      </c>
      <c r="K1447" t="s">
        <v>2582</v>
      </c>
      <c r="L1447" t="s">
        <v>2600</v>
      </c>
      <c r="M1447" t="s">
        <v>2627</v>
      </c>
    </row>
    <row r="1448" spans="1:13">
      <c r="A1448" s="1">
        <f>HYPERLINK("https://lsnyc.legalserver.org/matter/dynamic-profile/view/1881998","18-1881998")</f>
        <v>0</v>
      </c>
      <c r="B1448" t="s">
        <v>19</v>
      </c>
      <c r="C1448" t="s">
        <v>47</v>
      </c>
      <c r="D1448" t="s">
        <v>1179</v>
      </c>
      <c r="E1448" t="s">
        <v>2390</v>
      </c>
      <c r="F1448" t="s">
        <v>2437</v>
      </c>
      <c r="J1448" t="s">
        <v>2453</v>
      </c>
      <c r="K1448" t="s">
        <v>2588</v>
      </c>
      <c r="L1448" t="s">
        <v>2605</v>
      </c>
      <c r="M1448" t="s">
        <v>2619</v>
      </c>
    </row>
    <row r="1449" spans="1:13">
      <c r="A1449" s="1">
        <f>HYPERLINK("https://lsnyc.legalserver.org/matter/dynamic-profile/view/1882040","18-1882040")</f>
        <v>0</v>
      </c>
      <c r="B1449" t="s">
        <v>16</v>
      </c>
      <c r="C1449" t="s">
        <v>23</v>
      </c>
      <c r="D1449" t="s">
        <v>1180</v>
      </c>
      <c r="E1449" t="s">
        <v>2387</v>
      </c>
      <c r="F1449" t="s">
        <v>2437</v>
      </c>
      <c r="I1449" t="s">
        <v>2446</v>
      </c>
      <c r="J1449" t="s">
        <v>2465</v>
      </c>
      <c r="K1449" t="s">
        <v>2569</v>
      </c>
      <c r="M1449" t="s">
        <v>2629</v>
      </c>
    </row>
    <row r="1450" spans="1:13">
      <c r="A1450" s="1">
        <f>HYPERLINK("https://lsnyc.legalserver.org/matter/dynamic-profile/view/1882046","18-1882046")</f>
        <v>0</v>
      </c>
      <c r="B1450" t="s">
        <v>18</v>
      </c>
      <c r="C1450" t="s">
        <v>35</v>
      </c>
      <c r="D1450" t="s">
        <v>1181</v>
      </c>
      <c r="E1450" t="s">
        <v>2383</v>
      </c>
      <c r="F1450" t="s">
        <v>2437</v>
      </c>
      <c r="J1450" t="s">
        <v>2452</v>
      </c>
      <c r="K1450" t="s">
        <v>2572</v>
      </c>
      <c r="L1450" t="s">
        <v>2600</v>
      </c>
      <c r="M1450" t="s">
        <v>2624</v>
      </c>
    </row>
    <row r="1451" spans="1:13">
      <c r="A1451" s="1">
        <f>HYPERLINK("https://lsnyc.legalserver.org/matter/dynamic-profile/view/1882049","18-1882049")</f>
        <v>0</v>
      </c>
      <c r="B1451" t="s">
        <v>18</v>
      </c>
      <c r="C1451" t="s">
        <v>35</v>
      </c>
      <c r="D1451" t="s">
        <v>1181</v>
      </c>
      <c r="E1451" t="s">
        <v>2376</v>
      </c>
      <c r="F1451" t="s">
        <v>2437</v>
      </c>
      <c r="J1451" t="s">
        <v>2452</v>
      </c>
      <c r="K1451" t="s">
        <v>2572</v>
      </c>
      <c r="L1451" t="s">
        <v>2600</v>
      </c>
      <c r="M1451" t="s">
        <v>2618</v>
      </c>
    </row>
    <row r="1452" spans="1:13">
      <c r="A1452" s="1">
        <f>HYPERLINK("https://lsnyc.legalserver.org/matter/dynamic-profile/view/1882050","18-1882050")</f>
        <v>0</v>
      </c>
      <c r="B1452" t="s">
        <v>18</v>
      </c>
      <c r="C1452" t="s">
        <v>35</v>
      </c>
      <c r="D1452" t="s">
        <v>1181</v>
      </c>
      <c r="E1452" t="s">
        <v>2411</v>
      </c>
      <c r="F1452" t="s">
        <v>2437</v>
      </c>
      <c r="I1452" t="s">
        <v>2446</v>
      </c>
      <c r="J1452" t="s">
        <v>2452</v>
      </c>
      <c r="K1452" t="s">
        <v>2572</v>
      </c>
      <c r="L1452" t="s">
        <v>2600</v>
      </c>
      <c r="M1452" t="s">
        <v>2627</v>
      </c>
    </row>
    <row r="1453" spans="1:13">
      <c r="A1453" s="1">
        <f>HYPERLINK("https://lsnyc.legalserver.org/matter/dynamic-profile/view/1881857","18-1881857")</f>
        <v>0</v>
      </c>
      <c r="B1453" t="s">
        <v>16</v>
      </c>
      <c r="C1453" t="s">
        <v>24</v>
      </c>
      <c r="D1453" t="s">
        <v>1182</v>
      </c>
      <c r="E1453" t="s">
        <v>2390</v>
      </c>
      <c r="F1453" t="s">
        <v>2439</v>
      </c>
      <c r="I1453" t="s">
        <v>2446</v>
      </c>
      <c r="J1453" t="s">
        <v>2455</v>
      </c>
      <c r="K1453" t="s">
        <v>2569</v>
      </c>
      <c r="L1453" t="s">
        <v>2601</v>
      </c>
      <c r="M1453" t="s">
        <v>2631</v>
      </c>
    </row>
    <row r="1454" spans="1:13">
      <c r="A1454" s="1">
        <f>HYPERLINK("https://lsnyc.legalserver.org/matter/dynamic-profile/view/1881865","18-1881865")</f>
        <v>0</v>
      </c>
      <c r="B1454" t="s">
        <v>16</v>
      </c>
      <c r="C1454" t="s">
        <v>24</v>
      </c>
      <c r="D1454" t="s">
        <v>1183</v>
      </c>
      <c r="E1454" t="s">
        <v>2387</v>
      </c>
      <c r="F1454" t="s">
        <v>2439</v>
      </c>
      <c r="I1454" t="s">
        <v>2446</v>
      </c>
      <c r="J1454" t="s">
        <v>2533</v>
      </c>
      <c r="K1454" t="s">
        <v>2572</v>
      </c>
      <c r="L1454" t="s">
        <v>2601</v>
      </c>
      <c r="M1454" t="s">
        <v>2641</v>
      </c>
    </row>
    <row r="1455" spans="1:13">
      <c r="A1455" s="1">
        <f>HYPERLINK("https://lsnyc.legalserver.org/matter/dynamic-profile/view/1881867","18-1881867")</f>
        <v>0</v>
      </c>
      <c r="B1455" t="s">
        <v>16</v>
      </c>
      <c r="C1455" t="s">
        <v>24</v>
      </c>
      <c r="D1455" t="s">
        <v>1184</v>
      </c>
      <c r="E1455" t="s">
        <v>2390</v>
      </c>
      <c r="F1455" t="s">
        <v>2439</v>
      </c>
      <c r="I1455" t="s">
        <v>2446</v>
      </c>
      <c r="J1455" t="s">
        <v>2448</v>
      </c>
      <c r="K1455" t="s">
        <v>2569</v>
      </c>
      <c r="L1455" t="s">
        <v>2601</v>
      </c>
      <c r="M1455" t="s">
        <v>2631</v>
      </c>
    </row>
    <row r="1456" spans="1:13">
      <c r="A1456" s="1">
        <f>HYPERLINK("https://lsnyc.legalserver.org/matter/dynamic-profile/view/1881837","18-1881837")</f>
        <v>0</v>
      </c>
      <c r="B1456" t="s">
        <v>19</v>
      </c>
      <c r="C1456" t="s">
        <v>62</v>
      </c>
      <c r="D1456" t="s">
        <v>1185</v>
      </c>
      <c r="E1456" t="s">
        <v>2376</v>
      </c>
      <c r="F1456" t="s">
        <v>2437</v>
      </c>
      <c r="I1456" t="s">
        <v>2446</v>
      </c>
      <c r="J1456" t="s">
        <v>2479</v>
      </c>
      <c r="K1456" t="s">
        <v>2572</v>
      </c>
      <c r="L1456" t="s">
        <v>2604</v>
      </c>
      <c r="M1456" t="s">
        <v>2618</v>
      </c>
    </row>
    <row r="1457" spans="1:14">
      <c r="A1457" s="1">
        <f>HYPERLINK("https://lsnyc.legalserver.org/matter/dynamic-profile/view/1881709","18-1881709")</f>
        <v>0</v>
      </c>
      <c r="B1457" t="s">
        <v>16</v>
      </c>
      <c r="C1457" t="s">
        <v>23</v>
      </c>
      <c r="D1457" t="s">
        <v>1121</v>
      </c>
      <c r="E1457" t="s">
        <v>2387</v>
      </c>
      <c r="F1457" t="s">
        <v>2437</v>
      </c>
      <c r="I1457" t="s">
        <v>2446</v>
      </c>
      <c r="J1457" t="s">
        <v>2447</v>
      </c>
      <c r="K1457" t="s">
        <v>2569</v>
      </c>
      <c r="M1457" t="s">
        <v>2629</v>
      </c>
    </row>
    <row r="1458" spans="1:14">
      <c r="A1458" s="1">
        <f>HYPERLINK("https://lsnyc.legalserver.org/matter/dynamic-profile/view/1881742","18-1881742")</f>
        <v>0</v>
      </c>
      <c r="B1458" t="s">
        <v>16</v>
      </c>
      <c r="C1458" t="s">
        <v>23</v>
      </c>
      <c r="D1458" t="s">
        <v>619</v>
      </c>
      <c r="E1458" t="s">
        <v>2387</v>
      </c>
      <c r="F1458" t="s">
        <v>2437</v>
      </c>
      <c r="I1458" t="s">
        <v>2446</v>
      </c>
      <c r="J1458" t="s">
        <v>2457</v>
      </c>
      <c r="K1458" t="s">
        <v>2569</v>
      </c>
      <c r="M1458" t="s">
        <v>2629</v>
      </c>
    </row>
    <row r="1459" spans="1:14">
      <c r="A1459" s="1">
        <f>HYPERLINK("https://lsnyc.legalserver.org/matter/dynamic-profile/view/1881792","18-1881792")</f>
        <v>0</v>
      </c>
      <c r="B1459" t="s">
        <v>16</v>
      </c>
      <c r="C1459" t="s">
        <v>46</v>
      </c>
      <c r="D1459" t="s">
        <v>605</v>
      </c>
      <c r="E1459" t="s">
        <v>2408</v>
      </c>
      <c r="F1459" t="s">
        <v>2437</v>
      </c>
      <c r="I1459" t="s">
        <v>2446</v>
      </c>
      <c r="J1459" t="s">
        <v>2474</v>
      </c>
      <c r="K1459" t="s">
        <v>2572</v>
      </c>
      <c r="L1459" t="s">
        <v>2600</v>
      </c>
      <c r="M1459" t="s">
        <v>2619</v>
      </c>
    </row>
    <row r="1460" spans="1:14">
      <c r="A1460" s="1">
        <f>HYPERLINK("https://lsnyc.legalserver.org/matter/dynamic-profile/view/1881826","18-1881826")</f>
        <v>0</v>
      </c>
      <c r="B1460" t="s">
        <v>19</v>
      </c>
      <c r="C1460" t="s">
        <v>50</v>
      </c>
      <c r="D1460" t="s">
        <v>1062</v>
      </c>
      <c r="E1460" t="s">
        <v>2385</v>
      </c>
      <c r="F1460" t="s">
        <v>2438</v>
      </c>
      <c r="I1460" t="s">
        <v>2446</v>
      </c>
      <c r="J1460" t="s">
        <v>2450</v>
      </c>
      <c r="K1460" t="s">
        <v>2569</v>
      </c>
      <c r="L1460" t="s">
        <v>2600</v>
      </c>
      <c r="M1460" t="s">
        <v>2616</v>
      </c>
    </row>
    <row r="1461" spans="1:14">
      <c r="A1461" s="1">
        <f>HYPERLINK("https://lsnyc.legalserver.org/matter/dynamic-profile/view/1881828","18-1881828")</f>
        <v>0</v>
      </c>
      <c r="B1461" t="s">
        <v>19</v>
      </c>
      <c r="C1461" t="s">
        <v>50</v>
      </c>
      <c r="D1461" t="s">
        <v>1063</v>
      </c>
      <c r="E1461" t="s">
        <v>2385</v>
      </c>
      <c r="F1461" t="s">
        <v>2438</v>
      </c>
      <c r="I1461" t="s">
        <v>2446</v>
      </c>
      <c r="J1461" t="s">
        <v>2450</v>
      </c>
      <c r="K1461" t="s">
        <v>2569</v>
      </c>
      <c r="L1461" t="s">
        <v>2600</v>
      </c>
      <c r="M1461" t="s">
        <v>2616</v>
      </c>
      <c r="N1461" t="s">
        <v>2649</v>
      </c>
    </row>
    <row r="1462" spans="1:14">
      <c r="A1462" s="1">
        <f>HYPERLINK("https://lsnyc.legalserver.org/matter/dynamic-profile/view/1881833","18-1881833")</f>
        <v>0</v>
      </c>
      <c r="B1462" t="s">
        <v>17</v>
      </c>
      <c r="C1462" t="s">
        <v>42</v>
      </c>
      <c r="D1462" t="s">
        <v>183</v>
      </c>
      <c r="E1462" t="s">
        <v>2374</v>
      </c>
      <c r="F1462" t="s">
        <v>2438</v>
      </c>
      <c r="I1462" t="s">
        <v>2446</v>
      </c>
      <c r="J1462" t="s">
        <v>2465</v>
      </c>
      <c r="K1462" t="s">
        <v>2569</v>
      </c>
      <c r="M1462" t="s">
        <v>2616</v>
      </c>
    </row>
    <row r="1463" spans="1:14">
      <c r="A1463" s="1">
        <f>HYPERLINK("https://lsnyc.legalserver.org/matter/dynamic-profile/view/1881999","18-1881999")</f>
        <v>0</v>
      </c>
      <c r="B1463" t="s">
        <v>17</v>
      </c>
      <c r="C1463" t="s">
        <v>28</v>
      </c>
      <c r="D1463" t="s">
        <v>732</v>
      </c>
      <c r="E1463" t="s">
        <v>2374</v>
      </c>
      <c r="F1463" t="s">
        <v>2438</v>
      </c>
      <c r="I1463" t="s">
        <v>2446</v>
      </c>
      <c r="J1463" t="s">
        <v>2450</v>
      </c>
      <c r="K1463" t="s">
        <v>2569</v>
      </c>
      <c r="M1463" t="s">
        <v>2616</v>
      </c>
    </row>
    <row r="1464" spans="1:14">
      <c r="A1464" s="1">
        <f>HYPERLINK("https://lsnyc.legalserver.org/matter/dynamic-profile/view/1882058","18-1882058")</f>
        <v>0</v>
      </c>
      <c r="B1464" t="s">
        <v>17</v>
      </c>
      <c r="C1464" t="s">
        <v>28</v>
      </c>
      <c r="D1464" t="s">
        <v>732</v>
      </c>
      <c r="E1464" t="s">
        <v>2373</v>
      </c>
      <c r="F1464" t="s">
        <v>2441</v>
      </c>
      <c r="I1464" t="s">
        <v>2446</v>
      </c>
      <c r="J1464" t="s">
        <v>2450</v>
      </c>
      <c r="K1464" t="s">
        <v>2569</v>
      </c>
      <c r="M1464" t="s">
        <v>2615</v>
      </c>
    </row>
    <row r="1465" spans="1:14">
      <c r="A1465" s="1">
        <f>HYPERLINK("https://lsnyc.legalserver.org/matter/dynamic-profile/view/1882069","18-1882069")</f>
        <v>0</v>
      </c>
      <c r="B1465" t="s">
        <v>17</v>
      </c>
      <c r="C1465" t="s">
        <v>36</v>
      </c>
      <c r="D1465" t="s">
        <v>1186</v>
      </c>
      <c r="E1465" t="s">
        <v>2376</v>
      </c>
      <c r="F1465" t="s">
        <v>2437</v>
      </c>
      <c r="I1465" t="s">
        <v>2446</v>
      </c>
      <c r="J1465" t="s">
        <v>2501</v>
      </c>
      <c r="K1465" t="s">
        <v>2571</v>
      </c>
      <c r="L1465" t="s">
        <v>2600</v>
      </c>
      <c r="M1465" t="s">
        <v>2618</v>
      </c>
    </row>
    <row r="1466" spans="1:14">
      <c r="A1466" s="1">
        <f>HYPERLINK("https://lsnyc.legalserver.org/matter/dynamic-profile/view/1882084","18-1882084")</f>
        <v>0</v>
      </c>
      <c r="B1466" t="s">
        <v>17</v>
      </c>
      <c r="C1466" t="s">
        <v>42</v>
      </c>
      <c r="D1466" t="s">
        <v>1187</v>
      </c>
      <c r="E1466" t="s">
        <v>2374</v>
      </c>
      <c r="F1466" t="s">
        <v>2438</v>
      </c>
      <c r="I1466" t="s">
        <v>2446</v>
      </c>
      <c r="J1466" t="s">
        <v>2450</v>
      </c>
      <c r="K1466" t="s">
        <v>2569</v>
      </c>
      <c r="M1466" t="s">
        <v>2616</v>
      </c>
    </row>
    <row r="1467" spans="1:14">
      <c r="A1467" s="1">
        <f>HYPERLINK("https://lsnyc.legalserver.org/matter/dynamic-profile/view/1882087","18-1882087")</f>
        <v>0</v>
      </c>
      <c r="B1467" t="s">
        <v>17</v>
      </c>
      <c r="C1467" t="s">
        <v>42</v>
      </c>
      <c r="D1467" t="s">
        <v>1187</v>
      </c>
      <c r="E1467" t="s">
        <v>2373</v>
      </c>
      <c r="F1467" t="s">
        <v>2439</v>
      </c>
      <c r="I1467" t="s">
        <v>2446</v>
      </c>
      <c r="J1467" t="s">
        <v>2450</v>
      </c>
      <c r="K1467" t="s">
        <v>2569</v>
      </c>
      <c r="M1467" t="s">
        <v>2631</v>
      </c>
    </row>
    <row r="1468" spans="1:14">
      <c r="A1468" s="1">
        <f>HYPERLINK("https://lsnyc.legalserver.org/matter/dynamic-profile/view/1882101","18-1882101")</f>
        <v>0</v>
      </c>
      <c r="B1468" t="s">
        <v>17</v>
      </c>
      <c r="C1468" t="s">
        <v>36</v>
      </c>
      <c r="D1468" t="s">
        <v>1188</v>
      </c>
      <c r="E1468" t="s">
        <v>2385</v>
      </c>
      <c r="F1468" t="s">
        <v>2438</v>
      </c>
      <c r="I1468" t="s">
        <v>2446</v>
      </c>
      <c r="J1468" t="s">
        <v>2450</v>
      </c>
      <c r="K1468" t="s">
        <v>2569</v>
      </c>
      <c r="L1468" t="s">
        <v>2600</v>
      </c>
      <c r="M1468" t="s">
        <v>2616</v>
      </c>
    </row>
    <row r="1469" spans="1:14">
      <c r="A1469" s="1">
        <f>HYPERLINK("https://lsnyc.legalserver.org/matter/dynamic-profile/view/1882103","18-1882103")</f>
        <v>0</v>
      </c>
      <c r="B1469" t="s">
        <v>17</v>
      </c>
      <c r="C1469" t="s">
        <v>36</v>
      </c>
      <c r="D1469" t="s">
        <v>1189</v>
      </c>
      <c r="E1469" t="s">
        <v>2373</v>
      </c>
      <c r="F1469" t="s">
        <v>2441</v>
      </c>
      <c r="I1469" t="s">
        <v>2446</v>
      </c>
      <c r="J1469" t="s">
        <v>2450</v>
      </c>
      <c r="K1469" t="s">
        <v>2569</v>
      </c>
      <c r="M1469" t="s">
        <v>2615</v>
      </c>
    </row>
    <row r="1470" spans="1:14">
      <c r="A1470" s="1">
        <f>HYPERLINK("https://lsnyc.legalserver.org/matter/dynamic-profile/view/1882109","18-1882109")</f>
        <v>0</v>
      </c>
      <c r="B1470" t="s">
        <v>17</v>
      </c>
      <c r="C1470" t="s">
        <v>36</v>
      </c>
      <c r="D1470" t="s">
        <v>422</v>
      </c>
      <c r="E1470" t="s">
        <v>2374</v>
      </c>
      <c r="F1470" t="s">
        <v>2438</v>
      </c>
      <c r="I1470" t="s">
        <v>2446</v>
      </c>
      <c r="J1470" t="s">
        <v>2465</v>
      </c>
      <c r="L1470" t="s">
        <v>2600</v>
      </c>
      <c r="M1470" t="s">
        <v>2616</v>
      </c>
    </row>
    <row r="1471" spans="1:14">
      <c r="A1471" s="1">
        <f>HYPERLINK("https://lsnyc.legalserver.org/matter/dynamic-profile/view/1882112","18-1882112")</f>
        <v>0</v>
      </c>
      <c r="B1471" t="s">
        <v>17</v>
      </c>
      <c r="C1471" t="s">
        <v>36</v>
      </c>
      <c r="D1471" t="s">
        <v>1190</v>
      </c>
      <c r="E1471" t="s">
        <v>2374</v>
      </c>
      <c r="F1471" t="s">
        <v>2438</v>
      </c>
      <c r="I1471" t="s">
        <v>2446</v>
      </c>
      <c r="J1471" t="s">
        <v>2465</v>
      </c>
      <c r="L1471" t="s">
        <v>2600</v>
      </c>
      <c r="M1471" t="s">
        <v>2616</v>
      </c>
    </row>
    <row r="1472" spans="1:14">
      <c r="A1472" s="1">
        <f>HYPERLINK("https://lsnyc.legalserver.org/matter/dynamic-profile/view/1882124","18-1882124")</f>
        <v>0</v>
      </c>
      <c r="B1472" t="s">
        <v>17</v>
      </c>
      <c r="C1472" t="s">
        <v>25</v>
      </c>
      <c r="D1472" t="s">
        <v>1102</v>
      </c>
      <c r="E1472" t="s">
        <v>2385</v>
      </c>
      <c r="F1472" t="s">
        <v>2438</v>
      </c>
      <c r="I1472" t="s">
        <v>2446</v>
      </c>
      <c r="J1472" t="s">
        <v>2454</v>
      </c>
      <c r="K1472" t="s">
        <v>2572</v>
      </c>
      <c r="M1472" t="s">
        <v>2616</v>
      </c>
    </row>
    <row r="1473" spans="1:13">
      <c r="A1473" s="1">
        <f>HYPERLINK("https://lsnyc.legalserver.org/matter/dynamic-profile/view/1881639","18-1881639")</f>
        <v>0</v>
      </c>
      <c r="B1473" t="s">
        <v>16</v>
      </c>
      <c r="C1473" t="s">
        <v>67</v>
      </c>
      <c r="D1473" t="s">
        <v>1191</v>
      </c>
      <c r="E1473" t="s">
        <v>2390</v>
      </c>
      <c r="F1473" t="s">
        <v>2439</v>
      </c>
      <c r="I1473" t="s">
        <v>2446</v>
      </c>
      <c r="J1473" t="s">
        <v>2457</v>
      </c>
      <c r="K1473" t="s">
        <v>2569</v>
      </c>
      <c r="L1473" t="s">
        <v>2601</v>
      </c>
      <c r="M1473" t="s">
        <v>2631</v>
      </c>
    </row>
    <row r="1474" spans="1:13">
      <c r="A1474" s="1">
        <f>HYPERLINK("https://lsnyc.legalserver.org/matter/dynamic-profile/view/1881535","18-1881535")</f>
        <v>0</v>
      </c>
      <c r="B1474" t="s">
        <v>19</v>
      </c>
      <c r="C1474" t="s">
        <v>47</v>
      </c>
      <c r="D1474" t="s">
        <v>1192</v>
      </c>
      <c r="E1474" t="s">
        <v>2374</v>
      </c>
      <c r="F1474" t="s">
        <v>2439</v>
      </c>
      <c r="I1474" t="s">
        <v>2446</v>
      </c>
      <c r="J1474" t="s">
        <v>2465</v>
      </c>
      <c r="K1474" t="s">
        <v>2569</v>
      </c>
      <c r="L1474" t="s">
        <v>2601</v>
      </c>
      <c r="M1474" t="s">
        <v>2631</v>
      </c>
    </row>
    <row r="1475" spans="1:13">
      <c r="A1475" s="1">
        <f>HYPERLINK("https://lsnyc.legalserver.org/matter/dynamic-profile/view/1881521","18-1881521")</f>
        <v>0</v>
      </c>
      <c r="B1475" t="s">
        <v>18</v>
      </c>
      <c r="C1475" t="s">
        <v>45</v>
      </c>
      <c r="D1475" t="s">
        <v>1193</v>
      </c>
      <c r="E1475" t="s">
        <v>2381</v>
      </c>
      <c r="F1475" t="s">
        <v>2439</v>
      </c>
      <c r="I1475" t="s">
        <v>2446</v>
      </c>
      <c r="J1475" t="s">
        <v>2512</v>
      </c>
      <c r="K1475" t="s">
        <v>2572</v>
      </c>
      <c r="L1475" t="s">
        <v>2601</v>
      </c>
      <c r="M1475" t="s">
        <v>2631</v>
      </c>
    </row>
    <row r="1476" spans="1:13">
      <c r="A1476" s="1">
        <f>HYPERLINK("https://lsnyc.legalserver.org/matter/dynamic-profile/view/1881560","18-1881560")</f>
        <v>0</v>
      </c>
      <c r="B1476" t="s">
        <v>18</v>
      </c>
      <c r="C1476" t="s">
        <v>45</v>
      </c>
      <c r="D1476" t="s">
        <v>1194</v>
      </c>
      <c r="E1476" t="s">
        <v>2390</v>
      </c>
      <c r="F1476" t="s">
        <v>2439</v>
      </c>
      <c r="I1476" t="s">
        <v>2446</v>
      </c>
      <c r="J1476" t="s">
        <v>2448</v>
      </c>
      <c r="K1476" t="s">
        <v>2569</v>
      </c>
      <c r="L1476" t="s">
        <v>2601</v>
      </c>
      <c r="M1476" t="s">
        <v>2631</v>
      </c>
    </row>
    <row r="1477" spans="1:13">
      <c r="A1477" s="1">
        <f>HYPERLINK("https://lsnyc.legalserver.org/matter/dynamic-profile/view/1881527","18-1881527")</f>
        <v>0</v>
      </c>
      <c r="B1477" t="s">
        <v>14</v>
      </c>
      <c r="C1477" t="s">
        <v>20</v>
      </c>
      <c r="D1477" t="s">
        <v>1195</v>
      </c>
      <c r="E1477" t="s">
        <v>2391</v>
      </c>
      <c r="F1477" t="s">
        <v>2437</v>
      </c>
      <c r="I1477" t="s">
        <v>2446</v>
      </c>
      <c r="J1477" t="s">
        <v>2450</v>
      </c>
      <c r="K1477" t="s">
        <v>2569</v>
      </c>
      <c r="L1477" t="s">
        <v>2603</v>
      </c>
      <c r="M1477" t="s">
        <v>2615</v>
      </c>
    </row>
    <row r="1478" spans="1:13">
      <c r="A1478" s="1">
        <f>HYPERLINK("https://lsnyc.legalserver.org/matter/dynamic-profile/view/1881525","18-1881525")</f>
        <v>0</v>
      </c>
      <c r="B1478" t="s">
        <v>16</v>
      </c>
      <c r="C1478" t="s">
        <v>24</v>
      </c>
      <c r="D1478" t="s">
        <v>1196</v>
      </c>
      <c r="E1478" t="s">
        <v>2390</v>
      </c>
      <c r="F1478" t="s">
        <v>2439</v>
      </c>
      <c r="J1478" t="s">
        <v>2453</v>
      </c>
      <c r="K1478" t="s">
        <v>2572</v>
      </c>
      <c r="M1478" t="s">
        <v>2631</v>
      </c>
    </row>
    <row r="1479" spans="1:13">
      <c r="A1479" s="1">
        <f>HYPERLINK("https://lsnyc.legalserver.org/matter/dynamic-profile/view/1881324","18-1881324")</f>
        <v>0</v>
      </c>
      <c r="B1479" t="s">
        <v>19</v>
      </c>
      <c r="C1479" t="s">
        <v>47</v>
      </c>
      <c r="D1479" t="s">
        <v>1197</v>
      </c>
      <c r="E1479" t="s">
        <v>2374</v>
      </c>
      <c r="F1479" t="s">
        <v>2439</v>
      </c>
      <c r="I1479" t="s">
        <v>2446</v>
      </c>
      <c r="J1479" t="s">
        <v>2488</v>
      </c>
      <c r="K1479" t="s">
        <v>2569</v>
      </c>
      <c r="L1479" t="s">
        <v>2601</v>
      </c>
      <c r="M1479" t="s">
        <v>2631</v>
      </c>
    </row>
    <row r="1480" spans="1:13">
      <c r="A1480" s="1">
        <f>HYPERLINK("https://lsnyc.legalserver.org/matter/dynamic-profile/view/1881402","18-1881402")</f>
        <v>0</v>
      </c>
      <c r="B1480" t="s">
        <v>17</v>
      </c>
      <c r="C1480" t="s">
        <v>28</v>
      </c>
      <c r="D1480" t="s">
        <v>1198</v>
      </c>
      <c r="E1480" t="s">
        <v>2376</v>
      </c>
      <c r="F1480" t="s">
        <v>2437</v>
      </c>
      <c r="I1480" t="s">
        <v>2446</v>
      </c>
      <c r="J1480" t="s">
        <v>2450</v>
      </c>
      <c r="K1480" t="s">
        <v>2569</v>
      </c>
      <c r="L1480" t="s">
        <v>2603</v>
      </c>
      <c r="M1480" t="s">
        <v>2618</v>
      </c>
    </row>
    <row r="1481" spans="1:13">
      <c r="A1481" s="1">
        <f>HYPERLINK("https://lsnyc.legalserver.org/matter/dynamic-profile/view/1881404","18-1881404")</f>
        <v>0</v>
      </c>
      <c r="B1481" t="s">
        <v>17</v>
      </c>
      <c r="C1481" t="s">
        <v>28</v>
      </c>
      <c r="D1481" t="s">
        <v>1199</v>
      </c>
      <c r="E1481" t="s">
        <v>2376</v>
      </c>
      <c r="F1481" t="s">
        <v>2437</v>
      </c>
      <c r="I1481" t="s">
        <v>2446</v>
      </c>
      <c r="J1481" t="s">
        <v>2450</v>
      </c>
      <c r="K1481" t="s">
        <v>2569</v>
      </c>
      <c r="L1481" t="s">
        <v>2603</v>
      </c>
      <c r="M1481" t="s">
        <v>2618</v>
      </c>
    </row>
    <row r="1482" spans="1:13">
      <c r="A1482" s="1">
        <f>HYPERLINK("https://lsnyc.legalserver.org/matter/dynamic-profile/view/1878308","18-1878308")</f>
        <v>0</v>
      </c>
      <c r="B1482" t="s">
        <v>17</v>
      </c>
      <c r="C1482" t="s">
        <v>28</v>
      </c>
      <c r="D1482" t="s">
        <v>1200</v>
      </c>
      <c r="E1482" t="s">
        <v>2387</v>
      </c>
      <c r="F1482" t="s">
        <v>2437</v>
      </c>
      <c r="J1482" t="s">
        <v>2450</v>
      </c>
      <c r="K1482" t="s">
        <v>2569</v>
      </c>
      <c r="L1482" t="s">
        <v>2600</v>
      </c>
      <c r="M1482" t="s">
        <v>2629</v>
      </c>
    </row>
    <row r="1483" spans="1:13">
      <c r="A1483" s="1">
        <f>HYPERLINK("https://lsnyc.legalserver.org/matter/dynamic-profile/view/1881319","18-1881319")</f>
        <v>0</v>
      </c>
      <c r="B1483" t="s">
        <v>17</v>
      </c>
      <c r="C1483" t="s">
        <v>42</v>
      </c>
      <c r="D1483" t="s">
        <v>1201</v>
      </c>
      <c r="E1483" t="s">
        <v>2374</v>
      </c>
      <c r="F1483" t="s">
        <v>2438</v>
      </c>
      <c r="I1483" t="s">
        <v>2446</v>
      </c>
      <c r="J1483" t="s">
        <v>2465</v>
      </c>
      <c r="K1483" t="s">
        <v>2569</v>
      </c>
      <c r="L1483" t="s">
        <v>2600</v>
      </c>
      <c r="M1483" t="s">
        <v>2616</v>
      </c>
    </row>
    <row r="1484" spans="1:13">
      <c r="A1484" s="1">
        <f>HYPERLINK("https://lsnyc.legalserver.org/matter/dynamic-profile/view/1881331","18-1881331")</f>
        <v>0</v>
      </c>
      <c r="B1484" t="s">
        <v>16</v>
      </c>
      <c r="C1484" t="s">
        <v>23</v>
      </c>
      <c r="D1484" t="s">
        <v>466</v>
      </c>
      <c r="E1484" t="s">
        <v>2375</v>
      </c>
      <c r="F1484" t="s">
        <v>2438</v>
      </c>
      <c r="I1484" t="s">
        <v>2446</v>
      </c>
      <c r="J1484" t="s">
        <v>2450</v>
      </c>
      <c r="K1484" t="s">
        <v>2569</v>
      </c>
      <c r="M1484" t="s">
        <v>2617</v>
      </c>
    </row>
    <row r="1485" spans="1:13">
      <c r="A1485" s="1">
        <f>HYPERLINK("https://lsnyc.legalserver.org/matter/dynamic-profile/view/1881381","18-1881381")</f>
        <v>0</v>
      </c>
      <c r="B1485" t="s">
        <v>16</v>
      </c>
      <c r="C1485" t="s">
        <v>23</v>
      </c>
      <c r="D1485" t="s">
        <v>1202</v>
      </c>
      <c r="E1485" t="s">
        <v>2370</v>
      </c>
      <c r="F1485" t="s">
        <v>2437</v>
      </c>
      <c r="I1485" t="s">
        <v>2446</v>
      </c>
      <c r="J1485" t="s">
        <v>2447</v>
      </c>
      <c r="K1485" t="s">
        <v>2569</v>
      </c>
      <c r="M1485" t="s">
        <v>2638</v>
      </c>
    </row>
    <row r="1486" spans="1:13">
      <c r="A1486" s="1">
        <f>HYPERLINK("https://lsnyc.legalserver.org/matter/dynamic-profile/view/1881408","18-1881408")</f>
        <v>0</v>
      </c>
      <c r="B1486" t="s">
        <v>17</v>
      </c>
      <c r="C1486" t="s">
        <v>56</v>
      </c>
      <c r="D1486" t="s">
        <v>1203</v>
      </c>
      <c r="E1486" t="s">
        <v>2390</v>
      </c>
      <c r="F1486" t="s">
        <v>2437</v>
      </c>
      <c r="I1486" t="s">
        <v>2446</v>
      </c>
      <c r="J1486" t="s">
        <v>2457</v>
      </c>
      <c r="K1486" t="s">
        <v>2572</v>
      </c>
      <c r="M1486" t="s">
        <v>2619</v>
      </c>
    </row>
    <row r="1487" spans="1:13">
      <c r="A1487" s="1">
        <f>HYPERLINK("https://lsnyc.legalserver.org/matter/dynamic-profile/view/1881412","18-1881412")</f>
        <v>0</v>
      </c>
      <c r="B1487" t="s">
        <v>17</v>
      </c>
      <c r="C1487" t="s">
        <v>56</v>
      </c>
      <c r="D1487" t="s">
        <v>1204</v>
      </c>
      <c r="E1487" t="s">
        <v>2390</v>
      </c>
      <c r="F1487" t="s">
        <v>2437</v>
      </c>
      <c r="I1487" t="s">
        <v>2446</v>
      </c>
      <c r="J1487" t="s">
        <v>2457</v>
      </c>
      <c r="K1487" t="s">
        <v>2569</v>
      </c>
      <c r="L1487" t="s">
        <v>2600</v>
      </c>
      <c r="M1487" t="s">
        <v>2619</v>
      </c>
    </row>
    <row r="1488" spans="1:13">
      <c r="A1488" s="1">
        <f>HYPERLINK("https://lsnyc.legalserver.org/matter/dynamic-profile/view/1881276","18-1881276")</f>
        <v>0</v>
      </c>
      <c r="B1488" t="s">
        <v>14</v>
      </c>
      <c r="C1488" t="s">
        <v>26</v>
      </c>
      <c r="D1488" t="s">
        <v>1205</v>
      </c>
      <c r="F1488" t="s">
        <v>2439</v>
      </c>
      <c r="I1488" t="s">
        <v>2446</v>
      </c>
      <c r="J1488" t="s">
        <v>2450</v>
      </c>
      <c r="K1488" t="s">
        <v>2569</v>
      </c>
      <c r="L1488" t="s">
        <v>2601</v>
      </c>
      <c r="M1488" t="s">
        <v>2631</v>
      </c>
    </row>
    <row r="1489" spans="1:13">
      <c r="A1489" s="1">
        <f>HYPERLINK("https://lsnyc.legalserver.org/matter/dynamic-profile/view/1881223","18-1881223")</f>
        <v>0</v>
      </c>
      <c r="B1489" t="s">
        <v>14</v>
      </c>
      <c r="C1489" t="s">
        <v>26</v>
      </c>
      <c r="D1489" t="s">
        <v>1206</v>
      </c>
      <c r="E1489" t="s">
        <v>2374</v>
      </c>
      <c r="F1489" t="s">
        <v>2439</v>
      </c>
      <c r="I1489" t="s">
        <v>2446</v>
      </c>
      <c r="J1489" t="s">
        <v>2450</v>
      </c>
      <c r="K1489" t="s">
        <v>2569</v>
      </c>
      <c r="L1489" t="s">
        <v>2601</v>
      </c>
      <c r="M1489" t="s">
        <v>2631</v>
      </c>
    </row>
    <row r="1490" spans="1:13">
      <c r="A1490" s="1">
        <f>HYPERLINK("https://lsnyc.legalserver.org/matter/dynamic-profile/view/1881202","18-1881202")</f>
        <v>0</v>
      </c>
      <c r="B1490" t="s">
        <v>19</v>
      </c>
      <c r="C1490" t="s">
        <v>62</v>
      </c>
      <c r="D1490" t="s">
        <v>1207</v>
      </c>
      <c r="E1490" t="s">
        <v>2376</v>
      </c>
      <c r="F1490" t="s">
        <v>2437</v>
      </c>
      <c r="I1490" t="s">
        <v>2446</v>
      </c>
      <c r="J1490" t="s">
        <v>2488</v>
      </c>
      <c r="K1490" t="s">
        <v>2569</v>
      </c>
      <c r="L1490" t="s">
        <v>2600</v>
      </c>
      <c r="M1490" t="s">
        <v>2618</v>
      </c>
    </row>
    <row r="1491" spans="1:13">
      <c r="A1491" s="1">
        <f>HYPERLINK("https://lsnyc.legalserver.org/matter/dynamic-profile/view/1878583","18-1878583")</f>
        <v>0</v>
      </c>
      <c r="B1491" t="s">
        <v>17</v>
      </c>
      <c r="C1491" t="s">
        <v>60</v>
      </c>
      <c r="D1491" t="s">
        <v>1208</v>
      </c>
      <c r="E1491" t="s">
        <v>2374</v>
      </c>
      <c r="F1491" t="s">
        <v>2439</v>
      </c>
      <c r="I1491" t="s">
        <v>2446</v>
      </c>
      <c r="J1491" t="s">
        <v>2490</v>
      </c>
      <c r="K1491" t="s">
        <v>2572</v>
      </c>
      <c r="L1491" t="s">
        <v>2601</v>
      </c>
      <c r="M1491" t="s">
        <v>2631</v>
      </c>
    </row>
    <row r="1492" spans="1:13">
      <c r="A1492" s="1">
        <f>HYPERLINK("https://lsnyc.legalserver.org/matter/dynamic-profile/view/1881224","18-1881224")</f>
        <v>0</v>
      </c>
      <c r="B1492" t="s">
        <v>16</v>
      </c>
      <c r="C1492" t="s">
        <v>67</v>
      </c>
      <c r="D1492" t="s">
        <v>1209</v>
      </c>
      <c r="E1492" t="s">
        <v>2390</v>
      </c>
      <c r="F1492" t="s">
        <v>2439</v>
      </c>
      <c r="I1492" t="s">
        <v>2446</v>
      </c>
      <c r="J1492" t="s">
        <v>2536</v>
      </c>
      <c r="K1492" t="s">
        <v>2572</v>
      </c>
      <c r="L1492" t="s">
        <v>2601</v>
      </c>
      <c r="M1492" t="s">
        <v>2631</v>
      </c>
    </row>
    <row r="1493" spans="1:13">
      <c r="A1493" s="1">
        <f>HYPERLINK("https://lsnyc.legalserver.org/matter/dynamic-profile/view/1857579","18-1857579")</f>
        <v>0</v>
      </c>
      <c r="B1493" t="s">
        <v>17</v>
      </c>
      <c r="C1493" t="s">
        <v>28</v>
      </c>
      <c r="D1493" t="s">
        <v>1199</v>
      </c>
      <c r="E1493" t="s">
        <v>2374</v>
      </c>
      <c r="F1493" t="s">
        <v>2438</v>
      </c>
      <c r="I1493" t="s">
        <v>2446</v>
      </c>
      <c r="J1493" t="s">
        <v>2450</v>
      </c>
      <c r="K1493" t="s">
        <v>2569</v>
      </c>
      <c r="M1493" t="s">
        <v>2616</v>
      </c>
    </row>
    <row r="1494" spans="1:13">
      <c r="A1494" s="1">
        <f>HYPERLINK("https://lsnyc.legalserver.org/matter/dynamic-profile/view/1880912","18-1880912")</f>
        <v>0</v>
      </c>
      <c r="B1494" t="s">
        <v>16</v>
      </c>
      <c r="C1494" t="s">
        <v>46</v>
      </c>
      <c r="D1494" t="s">
        <v>1210</v>
      </c>
      <c r="E1494" t="s">
        <v>2387</v>
      </c>
      <c r="F1494" t="s">
        <v>2437</v>
      </c>
      <c r="I1494" t="s">
        <v>2446</v>
      </c>
      <c r="J1494" t="s">
        <v>2457</v>
      </c>
      <c r="K1494" t="s">
        <v>2569</v>
      </c>
      <c r="M1494" t="s">
        <v>2629</v>
      </c>
    </row>
    <row r="1495" spans="1:13">
      <c r="A1495" s="1">
        <f>HYPERLINK("https://lsnyc.legalserver.org/matter/dynamic-profile/view/1881188","18-1881188")</f>
        <v>0</v>
      </c>
      <c r="B1495" t="s">
        <v>16</v>
      </c>
      <c r="C1495" t="s">
        <v>23</v>
      </c>
      <c r="D1495" t="s">
        <v>521</v>
      </c>
      <c r="E1495" t="s">
        <v>2387</v>
      </c>
      <c r="F1495" t="s">
        <v>2437</v>
      </c>
      <c r="I1495" t="s">
        <v>2446</v>
      </c>
      <c r="J1495" t="s">
        <v>2447</v>
      </c>
      <c r="K1495" t="s">
        <v>2569</v>
      </c>
      <c r="M1495" t="s">
        <v>2629</v>
      </c>
    </row>
    <row r="1496" spans="1:13">
      <c r="A1496" s="1">
        <f>HYPERLINK("https://lsnyc.legalserver.org/matter/dynamic-profile/view/1881214","18-1881214")</f>
        <v>0</v>
      </c>
      <c r="B1496" t="s">
        <v>15</v>
      </c>
      <c r="C1496" t="s">
        <v>39</v>
      </c>
      <c r="D1496" t="s">
        <v>694</v>
      </c>
      <c r="E1496" t="s">
        <v>2374</v>
      </c>
      <c r="F1496" t="s">
        <v>2438</v>
      </c>
      <c r="J1496" t="s">
        <v>2449</v>
      </c>
      <c r="K1496" t="s">
        <v>2569</v>
      </c>
      <c r="M1496" t="s">
        <v>2616</v>
      </c>
    </row>
    <row r="1497" spans="1:13">
      <c r="A1497" s="1">
        <f>HYPERLINK("https://lsnyc.legalserver.org/matter/dynamic-profile/view/1882074","18-1882074")</f>
        <v>0</v>
      </c>
      <c r="B1497" t="s">
        <v>17</v>
      </c>
      <c r="C1497" t="s">
        <v>36</v>
      </c>
      <c r="D1497" t="s">
        <v>1186</v>
      </c>
      <c r="E1497" t="s">
        <v>2374</v>
      </c>
      <c r="F1497" t="s">
        <v>2438</v>
      </c>
      <c r="I1497" t="s">
        <v>2446</v>
      </c>
      <c r="J1497" t="s">
        <v>2501</v>
      </c>
      <c r="K1497" t="s">
        <v>2571</v>
      </c>
      <c r="M1497" t="s">
        <v>2616</v>
      </c>
    </row>
    <row r="1498" spans="1:13">
      <c r="A1498" s="1">
        <f>HYPERLINK("https://lsnyc.legalserver.org/matter/dynamic-profile/view/1879984","18-1879984")</f>
        <v>0</v>
      </c>
      <c r="B1498" t="s">
        <v>17</v>
      </c>
      <c r="C1498" t="s">
        <v>60</v>
      </c>
      <c r="D1498" t="s">
        <v>1211</v>
      </c>
      <c r="E1498" t="s">
        <v>2385</v>
      </c>
      <c r="F1498" t="s">
        <v>2439</v>
      </c>
      <c r="I1498" t="s">
        <v>2446</v>
      </c>
      <c r="J1498" t="s">
        <v>2498</v>
      </c>
      <c r="K1498" t="s">
        <v>2572</v>
      </c>
      <c r="L1498" t="s">
        <v>2601</v>
      </c>
      <c r="M1498" t="s">
        <v>2631</v>
      </c>
    </row>
    <row r="1499" spans="1:13">
      <c r="A1499" s="1">
        <f>HYPERLINK("https://lsnyc.legalserver.org/matter/dynamic-profile/view/1881045","18-1881045")</f>
        <v>0</v>
      </c>
      <c r="B1499" t="s">
        <v>16</v>
      </c>
      <c r="C1499" t="s">
        <v>23</v>
      </c>
      <c r="D1499" t="s">
        <v>1212</v>
      </c>
      <c r="E1499" t="s">
        <v>2387</v>
      </c>
      <c r="F1499" t="s">
        <v>2437</v>
      </c>
      <c r="I1499" t="s">
        <v>2446</v>
      </c>
      <c r="J1499" t="s">
        <v>2465</v>
      </c>
      <c r="K1499" t="s">
        <v>2569</v>
      </c>
      <c r="M1499" t="s">
        <v>2629</v>
      </c>
    </row>
    <row r="1500" spans="1:13">
      <c r="A1500" s="1">
        <f>HYPERLINK("https://lsnyc.legalserver.org/matter/dynamic-profile/view/1881110","18-1881110")</f>
        <v>0</v>
      </c>
      <c r="B1500" t="s">
        <v>18</v>
      </c>
      <c r="C1500" t="s">
        <v>27</v>
      </c>
      <c r="D1500" t="s">
        <v>245</v>
      </c>
      <c r="E1500" t="s">
        <v>2385</v>
      </c>
      <c r="F1500" t="s">
        <v>2438</v>
      </c>
      <c r="J1500" t="s">
        <v>2450</v>
      </c>
      <c r="K1500" t="s">
        <v>2569</v>
      </c>
      <c r="L1500" t="s">
        <v>2600</v>
      </c>
      <c r="M1500" t="s">
        <v>2616</v>
      </c>
    </row>
    <row r="1501" spans="1:13">
      <c r="A1501" s="1">
        <f>HYPERLINK("https://lsnyc.legalserver.org/matter/dynamic-profile/view/1881130","18-1881130")</f>
        <v>0</v>
      </c>
      <c r="B1501" t="s">
        <v>19</v>
      </c>
      <c r="C1501" t="s">
        <v>50</v>
      </c>
      <c r="D1501" t="s">
        <v>1213</v>
      </c>
      <c r="E1501" t="s">
        <v>2374</v>
      </c>
      <c r="F1501" t="s">
        <v>2443</v>
      </c>
      <c r="I1501" t="s">
        <v>2446</v>
      </c>
      <c r="J1501" t="s">
        <v>2477</v>
      </c>
      <c r="K1501" t="s">
        <v>2569</v>
      </c>
      <c r="M1501" t="s">
        <v>2616</v>
      </c>
    </row>
    <row r="1502" spans="1:13">
      <c r="A1502" s="1">
        <f>HYPERLINK("https://lsnyc.legalserver.org/matter/dynamic-profile/view/1881145","18-1881145")</f>
        <v>0</v>
      </c>
      <c r="B1502" t="s">
        <v>15</v>
      </c>
      <c r="C1502" t="s">
        <v>31</v>
      </c>
      <c r="D1502" t="s">
        <v>1214</v>
      </c>
      <c r="E1502" t="s">
        <v>2390</v>
      </c>
      <c r="F1502" t="s">
        <v>2437</v>
      </c>
      <c r="I1502" t="s">
        <v>2446</v>
      </c>
      <c r="J1502" t="s">
        <v>2537</v>
      </c>
      <c r="K1502" t="s">
        <v>2594</v>
      </c>
      <c r="M1502" t="s">
        <v>2619</v>
      </c>
    </row>
    <row r="1503" spans="1:13">
      <c r="A1503" s="1">
        <f>HYPERLINK("https://lsnyc.legalserver.org/matter/dynamic-profile/view/1881159","18-1881159")</f>
        <v>0</v>
      </c>
      <c r="B1503" t="s">
        <v>14</v>
      </c>
      <c r="C1503" t="s">
        <v>26</v>
      </c>
      <c r="D1503" t="s">
        <v>150</v>
      </c>
      <c r="E1503" t="s">
        <v>2374</v>
      </c>
      <c r="F1503" t="s">
        <v>2438</v>
      </c>
      <c r="I1503" t="s">
        <v>2446</v>
      </c>
      <c r="J1503" t="s">
        <v>2450</v>
      </c>
      <c r="K1503" t="s">
        <v>2569</v>
      </c>
      <c r="M1503" t="s">
        <v>2616</v>
      </c>
    </row>
    <row r="1504" spans="1:13">
      <c r="A1504" s="1">
        <f>HYPERLINK("https://lsnyc.legalserver.org/matter/dynamic-profile/view/1881020","18-1881020")</f>
        <v>0</v>
      </c>
      <c r="B1504" t="s">
        <v>18</v>
      </c>
      <c r="C1504" t="s">
        <v>45</v>
      </c>
      <c r="D1504" t="s">
        <v>1215</v>
      </c>
      <c r="F1504" t="s">
        <v>2439</v>
      </c>
      <c r="I1504" t="s">
        <v>2446</v>
      </c>
      <c r="J1504" t="s">
        <v>2461</v>
      </c>
      <c r="K1504" t="s">
        <v>2592</v>
      </c>
      <c r="L1504" t="s">
        <v>2601</v>
      </c>
      <c r="M1504" t="s">
        <v>2631</v>
      </c>
    </row>
    <row r="1505" spans="1:14">
      <c r="A1505" s="1">
        <f>HYPERLINK("https://lsnyc.legalserver.org/matter/dynamic-profile/view/1880907","18-1880907")</f>
        <v>0</v>
      </c>
      <c r="B1505" t="s">
        <v>14</v>
      </c>
      <c r="C1505" t="s">
        <v>26</v>
      </c>
      <c r="D1505" t="s">
        <v>406</v>
      </c>
      <c r="E1505" t="s">
        <v>2385</v>
      </c>
      <c r="F1505" t="s">
        <v>2438</v>
      </c>
      <c r="I1505" t="s">
        <v>2446</v>
      </c>
      <c r="J1505" t="s">
        <v>2465</v>
      </c>
      <c r="K1505" t="s">
        <v>2569</v>
      </c>
      <c r="M1505" t="s">
        <v>2616</v>
      </c>
    </row>
    <row r="1506" spans="1:14">
      <c r="A1506" s="1">
        <f>HYPERLINK("https://lsnyc.legalserver.org/matter/dynamic-profile/view/1880969","18-1880969")</f>
        <v>0</v>
      </c>
      <c r="B1506" t="s">
        <v>16</v>
      </c>
      <c r="C1506" t="s">
        <v>23</v>
      </c>
      <c r="D1506" t="s">
        <v>1216</v>
      </c>
      <c r="E1506" t="s">
        <v>2375</v>
      </c>
      <c r="F1506" t="s">
        <v>2437</v>
      </c>
      <c r="I1506" t="s">
        <v>2446</v>
      </c>
      <c r="J1506" t="s">
        <v>2452</v>
      </c>
      <c r="K1506" t="s">
        <v>2572</v>
      </c>
      <c r="M1506" t="s">
        <v>2617</v>
      </c>
    </row>
    <row r="1507" spans="1:14">
      <c r="A1507" s="1">
        <f>HYPERLINK("https://lsnyc.legalserver.org/matter/dynamic-profile/view/1880987","18-1880987")</f>
        <v>0</v>
      </c>
      <c r="B1507" t="s">
        <v>16</v>
      </c>
      <c r="C1507" t="s">
        <v>46</v>
      </c>
      <c r="D1507" t="s">
        <v>1217</v>
      </c>
      <c r="E1507" t="s">
        <v>2390</v>
      </c>
      <c r="F1507" t="s">
        <v>2437</v>
      </c>
      <c r="I1507" t="s">
        <v>2446</v>
      </c>
      <c r="J1507" t="s">
        <v>2455</v>
      </c>
      <c r="K1507" t="s">
        <v>2569</v>
      </c>
      <c r="M1507" t="s">
        <v>2619</v>
      </c>
    </row>
    <row r="1508" spans="1:14">
      <c r="A1508" s="1">
        <f>HYPERLINK("https://lsnyc.legalserver.org/matter/dynamic-profile/view/1881018","18-1881018")</f>
        <v>0</v>
      </c>
      <c r="B1508" t="s">
        <v>16</v>
      </c>
      <c r="C1508" t="s">
        <v>23</v>
      </c>
      <c r="D1508" t="s">
        <v>1218</v>
      </c>
      <c r="E1508" t="s">
        <v>2375</v>
      </c>
      <c r="F1508" t="s">
        <v>2437</v>
      </c>
      <c r="I1508" t="s">
        <v>2446</v>
      </c>
      <c r="J1508" t="s">
        <v>2467</v>
      </c>
      <c r="K1508" t="s">
        <v>2572</v>
      </c>
      <c r="M1508" t="s">
        <v>2617</v>
      </c>
    </row>
    <row r="1509" spans="1:14">
      <c r="A1509" s="1">
        <f>HYPERLINK("https://lsnyc.legalserver.org/matter/dynamic-profile/view/1881154","18-1881154")</f>
        <v>0</v>
      </c>
      <c r="B1509" t="s">
        <v>17</v>
      </c>
      <c r="C1509" t="s">
        <v>28</v>
      </c>
      <c r="D1509" t="s">
        <v>99</v>
      </c>
      <c r="E1509" t="s">
        <v>2418</v>
      </c>
      <c r="F1509" t="s">
        <v>2437</v>
      </c>
      <c r="I1509" t="s">
        <v>2446</v>
      </c>
      <c r="J1509" t="s">
        <v>2538</v>
      </c>
      <c r="L1509" t="s">
        <v>2600</v>
      </c>
      <c r="M1509" t="s">
        <v>2617</v>
      </c>
    </row>
    <row r="1510" spans="1:14">
      <c r="A1510" s="1">
        <f>HYPERLINK("https://lsnyc.legalserver.org/matter/dynamic-profile/view/1880857","18-1880857")</f>
        <v>0</v>
      </c>
      <c r="B1510" t="s">
        <v>18</v>
      </c>
      <c r="C1510" t="s">
        <v>34</v>
      </c>
      <c r="D1510" t="s">
        <v>1219</v>
      </c>
      <c r="E1510" t="s">
        <v>2394</v>
      </c>
      <c r="F1510" t="s">
        <v>2439</v>
      </c>
      <c r="H1510" t="s">
        <v>2445</v>
      </c>
      <c r="K1510" t="s">
        <v>2572</v>
      </c>
      <c r="L1510" t="s">
        <v>2601</v>
      </c>
      <c r="M1510" t="s">
        <v>2631</v>
      </c>
    </row>
    <row r="1511" spans="1:14">
      <c r="A1511" s="1">
        <f>HYPERLINK("https://lsnyc.legalserver.org/matter/dynamic-profile/view/1880905","18-1880905")</f>
        <v>0</v>
      </c>
      <c r="B1511" t="s">
        <v>19</v>
      </c>
      <c r="C1511" t="s">
        <v>62</v>
      </c>
      <c r="D1511" t="s">
        <v>1220</v>
      </c>
      <c r="E1511" t="s">
        <v>2375</v>
      </c>
      <c r="F1511" t="s">
        <v>2437</v>
      </c>
      <c r="I1511" t="s">
        <v>2446</v>
      </c>
      <c r="J1511" t="s">
        <v>2479</v>
      </c>
      <c r="K1511" t="s">
        <v>2572</v>
      </c>
      <c r="L1511" t="s">
        <v>2603</v>
      </c>
      <c r="M1511" t="s">
        <v>2617</v>
      </c>
    </row>
    <row r="1512" spans="1:14">
      <c r="A1512" s="1">
        <f>HYPERLINK("https://lsnyc.legalserver.org/matter/dynamic-profile/view/1880869","18-1880869")</f>
        <v>0</v>
      </c>
      <c r="B1512" t="s">
        <v>16</v>
      </c>
      <c r="C1512" t="s">
        <v>23</v>
      </c>
      <c r="D1512" t="s">
        <v>1008</v>
      </c>
      <c r="E1512" t="s">
        <v>2387</v>
      </c>
      <c r="F1512" t="s">
        <v>2437</v>
      </c>
      <c r="I1512" t="s">
        <v>2446</v>
      </c>
      <c r="J1512" t="s">
        <v>2457</v>
      </c>
      <c r="K1512" t="s">
        <v>2569</v>
      </c>
      <c r="M1512" t="s">
        <v>2629</v>
      </c>
    </row>
    <row r="1513" spans="1:14">
      <c r="A1513" s="1">
        <f>HYPERLINK("https://lsnyc.legalserver.org/matter/dynamic-profile/view/1880830","18-1880830")</f>
        <v>0</v>
      </c>
      <c r="B1513" t="s">
        <v>19</v>
      </c>
      <c r="C1513" t="s">
        <v>62</v>
      </c>
      <c r="D1513" t="s">
        <v>1221</v>
      </c>
      <c r="E1513" t="s">
        <v>2375</v>
      </c>
      <c r="F1513" t="s">
        <v>2439</v>
      </c>
      <c r="I1513" t="s">
        <v>2446</v>
      </c>
      <c r="J1513" t="s">
        <v>2473</v>
      </c>
      <c r="K1513" t="s">
        <v>2580</v>
      </c>
      <c r="L1513" t="s">
        <v>2601</v>
      </c>
      <c r="M1513" t="s">
        <v>2631</v>
      </c>
    </row>
    <row r="1514" spans="1:14">
      <c r="A1514" s="1">
        <f>HYPERLINK("https://lsnyc.legalserver.org/matter/dynamic-profile/view/1880831","18-1880831")</f>
        <v>0</v>
      </c>
      <c r="B1514" t="s">
        <v>19</v>
      </c>
      <c r="C1514" t="s">
        <v>62</v>
      </c>
      <c r="D1514" t="s">
        <v>1222</v>
      </c>
      <c r="E1514" t="s">
        <v>2375</v>
      </c>
      <c r="F1514" t="s">
        <v>2437</v>
      </c>
      <c r="I1514" t="s">
        <v>2446</v>
      </c>
      <c r="J1514" t="s">
        <v>2455</v>
      </c>
      <c r="K1514" t="s">
        <v>2569</v>
      </c>
      <c r="L1514" t="s">
        <v>2603</v>
      </c>
      <c r="M1514" t="s">
        <v>2617</v>
      </c>
    </row>
    <row r="1515" spans="1:14">
      <c r="A1515" s="1">
        <f>HYPERLINK("https://lsnyc.legalserver.org/matter/dynamic-profile/view/1880791","18-1880791")</f>
        <v>0</v>
      </c>
      <c r="B1515" t="s">
        <v>16</v>
      </c>
      <c r="C1515" t="s">
        <v>23</v>
      </c>
      <c r="D1515" t="s">
        <v>1223</v>
      </c>
      <c r="E1515" t="s">
        <v>2375</v>
      </c>
      <c r="F1515" t="s">
        <v>2439</v>
      </c>
      <c r="I1515" t="s">
        <v>2446</v>
      </c>
      <c r="J1515" t="s">
        <v>2515</v>
      </c>
      <c r="K1515" t="s">
        <v>2572</v>
      </c>
      <c r="L1515" t="s">
        <v>2601</v>
      </c>
      <c r="M1515" t="s">
        <v>2631</v>
      </c>
    </row>
    <row r="1516" spans="1:14">
      <c r="A1516" s="1">
        <f>HYPERLINK("https://lsnyc.legalserver.org/matter/dynamic-profile/view/1880794","18-1880794")</f>
        <v>0</v>
      </c>
      <c r="B1516" t="s">
        <v>16</v>
      </c>
      <c r="C1516" t="s">
        <v>23</v>
      </c>
      <c r="D1516" t="s">
        <v>1224</v>
      </c>
      <c r="E1516" t="s">
        <v>2374</v>
      </c>
      <c r="F1516" t="s">
        <v>2438</v>
      </c>
      <c r="G1516" t="s">
        <v>2444</v>
      </c>
      <c r="I1516" t="s">
        <v>2446</v>
      </c>
      <c r="J1516" t="s">
        <v>2465</v>
      </c>
      <c r="K1516" t="s">
        <v>2569</v>
      </c>
      <c r="M1516" t="s">
        <v>2616</v>
      </c>
    </row>
    <row r="1517" spans="1:14">
      <c r="A1517" s="1">
        <f>HYPERLINK("https://lsnyc.legalserver.org/matter/dynamic-profile/view/1880828","18-1880828")</f>
        <v>0</v>
      </c>
      <c r="B1517" t="s">
        <v>14</v>
      </c>
      <c r="C1517" t="s">
        <v>21</v>
      </c>
      <c r="D1517" t="s">
        <v>359</v>
      </c>
      <c r="E1517" t="s">
        <v>2391</v>
      </c>
      <c r="F1517" t="s">
        <v>2437</v>
      </c>
      <c r="I1517" t="s">
        <v>2446</v>
      </c>
      <c r="J1517" t="s">
        <v>2450</v>
      </c>
      <c r="L1517" t="s">
        <v>2600</v>
      </c>
      <c r="M1517" t="s">
        <v>2626</v>
      </c>
      <c r="N1517" t="s">
        <v>2649</v>
      </c>
    </row>
    <row r="1518" spans="1:14">
      <c r="A1518" s="1">
        <f>HYPERLINK("https://lsnyc.legalserver.org/matter/dynamic-profile/view/1880581","18-1880581")</f>
        <v>0</v>
      </c>
      <c r="B1518" t="s">
        <v>14</v>
      </c>
      <c r="C1518" t="s">
        <v>26</v>
      </c>
      <c r="D1518" t="s">
        <v>393</v>
      </c>
      <c r="E1518" t="s">
        <v>2385</v>
      </c>
      <c r="F1518" t="s">
        <v>2438</v>
      </c>
      <c r="I1518" t="s">
        <v>2446</v>
      </c>
      <c r="J1518" t="s">
        <v>2450</v>
      </c>
      <c r="K1518" t="s">
        <v>2569</v>
      </c>
      <c r="M1518" t="s">
        <v>2616</v>
      </c>
    </row>
    <row r="1519" spans="1:14">
      <c r="A1519" s="1">
        <f>HYPERLINK("https://lsnyc.legalserver.org/matter/dynamic-profile/view/1880630","18-1880630")</f>
        <v>0</v>
      </c>
      <c r="B1519" t="s">
        <v>16</v>
      </c>
      <c r="C1519" t="s">
        <v>23</v>
      </c>
      <c r="D1519" t="s">
        <v>478</v>
      </c>
      <c r="E1519" t="s">
        <v>2374</v>
      </c>
      <c r="F1519" t="s">
        <v>2438</v>
      </c>
      <c r="I1519" t="s">
        <v>2446</v>
      </c>
      <c r="J1519" t="s">
        <v>2450</v>
      </c>
      <c r="K1519" t="s">
        <v>2569</v>
      </c>
      <c r="M1519" t="s">
        <v>2616</v>
      </c>
    </row>
    <row r="1520" spans="1:14">
      <c r="A1520" s="1">
        <f>HYPERLINK("https://lsnyc.legalserver.org/matter/dynamic-profile/view/1880863","18-1880863")</f>
        <v>0</v>
      </c>
      <c r="B1520" t="s">
        <v>17</v>
      </c>
      <c r="C1520" t="s">
        <v>36</v>
      </c>
      <c r="D1520" t="s">
        <v>972</v>
      </c>
      <c r="E1520" t="s">
        <v>2374</v>
      </c>
      <c r="F1520" t="s">
        <v>2438</v>
      </c>
      <c r="I1520" t="s">
        <v>2446</v>
      </c>
      <c r="J1520" t="s">
        <v>2449</v>
      </c>
      <c r="M1520" t="s">
        <v>2616</v>
      </c>
    </row>
    <row r="1521" spans="1:13">
      <c r="A1521" s="1">
        <f>HYPERLINK("https://lsnyc.legalserver.org/matter/dynamic-profile/view/1880866","18-1880866")</f>
        <v>0</v>
      </c>
      <c r="B1521" t="s">
        <v>17</v>
      </c>
      <c r="C1521" t="s">
        <v>36</v>
      </c>
      <c r="D1521" t="s">
        <v>982</v>
      </c>
      <c r="E1521" t="s">
        <v>2374</v>
      </c>
      <c r="F1521" t="s">
        <v>2438</v>
      </c>
      <c r="I1521" t="s">
        <v>2446</v>
      </c>
      <c r="J1521" t="s">
        <v>2449</v>
      </c>
      <c r="K1521" t="s">
        <v>2569</v>
      </c>
      <c r="M1521" t="s">
        <v>2616</v>
      </c>
    </row>
    <row r="1522" spans="1:13">
      <c r="A1522" s="1">
        <f>HYPERLINK("https://lsnyc.legalserver.org/matter/dynamic-profile/view/1881038","18-1881038")</f>
        <v>0</v>
      </c>
      <c r="B1522" t="s">
        <v>19</v>
      </c>
      <c r="C1522" t="s">
        <v>50</v>
      </c>
      <c r="D1522" t="s">
        <v>1225</v>
      </c>
      <c r="E1522" t="s">
        <v>2390</v>
      </c>
      <c r="F1522" t="s">
        <v>2439</v>
      </c>
      <c r="I1522" t="s">
        <v>2446</v>
      </c>
      <c r="J1522" t="s">
        <v>2476</v>
      </c>
      <c r="K1522" t="s">
        <v>2572</v>
      </c>
      <c r="L1522" t="s">
        <v>2602</v>
      </c>
      <c r="M1522" t="s">
        <v>2631</v>
      </c>
    </row>
    <row r="1523" spans="1:13">
      <c r="A1523" s="1">
        <f>HYPERLINK("https://lsnyc.legalserver.org/matter/dynamic-profile/view/1880412","18-1880412")</f>
        <v>0</v>
      </c>
      <c r="B1523" t="s">
        <v>19</v>
      </c>
      <c r="C1523" t="s">
        <v>47</v>
      </c>
      <c r="D1523" t="s">
        <v>1226</v>
      </c>
      <c r="E1523" t="s">
        <v>2381</v>
      </c>
      <c r="F1523" t="s">
        <v>2437</v>
      </c>
      <c r="J1523" t="s">
        <v>2447</v>
      </c>
      <c r="K1523" t="s">
        <v>2569</v>
      </c>
      <c r="L1523" t="s">
        <v>2605</v>
      </c>
      <c r="M1523" t="s">
        <v>2622</v>
      </c>
    </row>
    <row r="1524" spans="1:13">
      <c r="A1524" s="1">
        <f>HYPERLINK("https://lsnyc.legalserver.org/matter/dynamic-profile/view/1878818","18-1878818")</f>
        <v>0</v>
      </c>
      <c r="B1524" t="s">
        <v>17</v>
      </c>
      <c r="C1524" t="s">
        <v>56</v>
      </c>
      <c r="D1524" t="s">
        <v>733</v>
      </c>
      <c r="E1524" t="s">
        <v>2387</v>
      </c>
      <c r="F1524" t="s">
        <v>2437</v>
      </c>
      <c r="I1524" t="s">
        <v>2446</v>
      </c>
      <c r="J1524" t="s">
        <v>2457</v>
      </c>
      <c r="K1524" t="s">
        <v>2572</v>
      </c>
      <c r="L1524" t="s">
        <v>2600</v>
      </c>
      <c r="M1524" t="s">
        <v>2629</v>
      </c>
    </row>
    <row r="1525" spans="1:13">
      <c r="A1525" s="1">
        <f>HYPERLINK("https://lsnyc.legalserver.org/matter/dynamic-profile/view/1879652","18-1879652")</f>
        <v>0</v>
      </c>
      <c r="B1525" t="s">
        <v>17</v>
      </c>
      <c r="C1525" t="s">
        <v>36</v>
      </c>
      <c r="D1525" t="s">
        <v>1227</v>
      </c>
      <c r="E1525" t="s">
        <v>2376</v>
      </c>
      <c r="F1525" t="s">
        <v>2437</v>
      </c>
      <c r="I1525" t="s">
        <v>2446</v>
      </c>
      <c r="J1525" t="s">
        <v>2454</v>
      </c>
      <c r="K1525" t="s">
        <v>2572</v>
      </c>
      <c r="L1525" t="s">
        <v>2600</v>
      </c>
      <c r="M1525" t="s">
        <v>2618</v>
      </c>
    </row>
    <row r="1526" spans="1:13">
      <c r="A1526" s="1">
        <f>HYPERLINK("https://lsnyc.legalserver.org/matter/dynamic-profile/view/1880452","18-1880452")</f>
        <v>0</v>
      </c>
      <c r="B1526" t="s">
        <v>18</v>
      </c>
      <c r="C1526" t="s">
        <v>35</v>
      </c>
      <c r="D1526" t="s">
        <v>1181</v>
      </c>
      <c r="E1526" t="s">
        <v>2394</v>
      </c>
      <c r="F1526" t="s">
        <v>2437</v>
      </c>
      <c r="I1526" t="s">
        <v>2446</v>
      </c>
      <c r="J1526" t="s">
        <v>2452</v>
      </c>
      <c r="K1526" t="s">
        <v>2572</v>
      </c>
      <c r="L1526" t="s">
        <v>2600</v>
      </c>
      <c r="M1526" t="s">
        <v>2627</v>
      </c>
    </row>
    <row r="1527" spans="1:13">
      <c r="A1527" s="1">
        <f>HYPERLINK("https://lsnyc.legalserver.org/matter/dynamic-profile/view/1880494","18-1880494")</f>
        <v>0</v>
      </c>
      <c r="B1527" t="s">
        <v>16</v>
      </c>
      <c r="C1527" t="s">
        <v>23</v>
      </c>
      <c r="D1527" t="s">
        <v>727</v>
      </c>
      <c r="E1527" t="s">
        <v>2387</v>
      </c>
      <c r="F1527" t="s">
        <v>2437</v>
      </c>
      <c r="I1527" t="s">
        <v>2446</v>
      </c>
      <c r="J1527" t="s">
        <v>2448</v>
      </c>
      <c r="K1527" t="s">
        <v>2569</v>
      </c>
      <c r="M1527" t="s">
        <v>2629</v>
      </c>
    </row>
    <row r="1528" spans="1:13">
      <c r="A1528" s="1">
        <f>HYPERLINK("https://lsnyc.legalserver.org/matter/dynamic-profile/view/1880506","18-1880506")</f>
        <v>0</v>
      </c>
      <c r="B1528" t="s">
        <v>19</v>
      </c>
      <c r="C1528" t="s">
        <v>50</v>
      </c>
      <c r="D1528" t="s">
        <v>1228</v>
      </c>
      <c r="E1528" t="s">
        <v>2375</v>
      </c>
      <c r="F1528" t="s">
        <v>2437</v>
      </c>
      <c r="I1528" t="s">
        <v>2446</v>
      </c>
      <c r="J1528" t="s">
        <v>2471</v>
      </c>
      <c r="K1528" t="s">
        <v>2571</v>
      </c>
      <c r="L1528" t="s">
        <v>2600</v>
      </c>
      <c r="M1528" t="s">
        <v>2617</v>
      </c>
    </row>
    <row r="1529" spans="1:13">
      <c r="A1529" s="1">
        <f>HYPERLINK("https://lsnyc.legalserver.org/matter/dynamic-profile/view/1880314","18-1880314")</f>
        <v>0</v>
      </c>
      <c r="B1529" t="s">
        <v>19</v>
      </c>
      <c r="C1529" t="s">
        <v>23</v>
      </c>
      <c r="D1529" t="s">
        <v>1229</v>
      </c>
      <c r="E1529" t="s">
        <v>2375</v>
      </c>
      <c r="F1529" t="s">
        <v>2439</v>
      </c>
      <c r="I1529" t="s">
        <v>2446</v>
      </c>
      <c r="J1529" t="s">
        <v>2453</v>
      </c>
      <c r="K1529" t="s">
        <v>2587</v>
      </c>
      <c r="L1529" t="s">
        <v>2601</v>
      </c>
      <c r="M1529" t="s">
        <v>2631</v>
      </c>
    </row>
    <row r="1530" spans="1:13">
      <c r="A1530" s="1">
        <f>HYPERLINK("https://lsnyc.legalserver.org/matter/dynamic-profile/view/1880381","18-1880381")</f>
        <v>0</v>
      </c>
      <c r="B1530" t="s">
        <v>18</v>
      </c>
      <c r="C1530" t="s">
        <v>34</v>
      </c>
      <c r="D1530" t="s">
        <v>1152</v>
      </c>
      <c r="E1530" t="s">
        <v>2376</v>
      </c>
      <c r="F1530" t="s">
        <v>2437</v>
      </c>
      <c r="I1530" t="s">
        <v>2446</v>
      </c>
      <c r="J1530" t="s">
        <v>2448</v>
      </c>
      <c r="K1530" t="s">
        <v>2569</v>
      </c>
      <c r="L1530" t="s">
        <v>2603</v>
      </c>
      <c r="M1530" t="s">
        <v>2618</v>
      </c>
    </row>
    <row r="1531" spans="1:13">
      <c r="A1531" s="1">
        <f>HYPERLINK("https://lsnyc.legalserver.org/matter/dynamic-profile/view/1880279","18-1880279")</f>
        <v>0</v>
      </c>
      <c r="B1531" t="s">
        <v>16</v>
      </c>
      <c r="C1531" t="s">
        <v>23</v>
      </c>
      <c r="D1531" t="s">
        <v>1230</v>
      </c>
      <c r="E1531" t="s">
        <v>2383</v>
      </c>
      <c r="F1531" t="s">
        <v>2437</v>
      </c>
      <c r="I1531" t="s">
        <v>2446</v>
      </c>
      <c r="J1531" t="s">
        <v>2457</v>
      </c>
      <c r="K1531" t="s">
        <v>2569</v>
      </c>
      <c r="L1531" t="s">
        <v>2604</v>
      </c>
      <c r="M1531" t="s">
        <v>2624</v>
      </c>
    </row>
    <row r="1532" spans="1:13">
      <c r="A1532" s="1">
        <f>HYPERLINK("https://lsnyc.legalserver.org/matter/dynamic-profile/view/1880287","18-1880287")</f>
        <v>0</v>
      </c>
      <c r="B1532" t="s">
        <v>16</v>
      </c>
      <c r="C1532" t="s">
        <v>46</v>
      </c>
      <c r="D1532" t="s">
        <v>522</v>
      </c>
      <c r="E1532" t="s">
        <v>2390</v>
      </c>
      <c r="F1532" t="s">
        <v>2437</v>
      </c>
      <c r="I1532" t="s">
        <v>2446</v>
      </c>
      <c r="J1532" t="s">
        <v>2448</v>
      </c>
      <c r="K1532" t="s">
        <v>2569</v>
      </c>
      <c r="L1532" t="s">
        <v>2600</v>
      </c>
      <c r="M1532" t="s">
        <v>2619</v>
      </c>
    </row>
    <row r="1533" spans="1:13">
      <c r="A1533" s="1">
        <f>HYPERLINK("https://lsnyc.legalserver.org/matter/dynamic-profile/view/1880296","18-1880296")</f>
        <v>0</v>
      </c>
      <c r="B1533" t="s">
        <v>19</v>
      </c>
      <c r="C1533" t="s">
        <v>48</v>
      </c>
      <c r="D1533" t="s">
        <v>1231</v>
      </c>
      <c r="E1533" t="s">
        <v>2374</v>
      </c>
      <c r="F1533" t="s">
        <v>2438</v>
      </c>
      <c r="I1533" t="s">
        <v>2446</v>
      </c>
      <c r="J1533" t="s">
        <v>2488</v>
      </c>
      <c r="K1533" t="s">
        <v>2569</v>
      </c>
      <c r="M1533" t="s">
        <v>2616</v>
      </c>
    </row>
    <row r="1534" spans="1:13">
      <c r="A1534" s="1">
        <f>HYPERLINK("https://lsnyc.legalserver.org/matter/dynamic-profile/view/1880357","18-1880357")</f>
        <v>0</v>
      </c>
      <c r="B1534" t="s">
        <v>16</v>
      </c>
      <c r="C1534" t="s">
        <v>23</v>
      </c>
      <c r="D1534" t="s">
        <v>1232</v>
      </c>
      <c r="E1534" t="s">
        <v>2383</v>
      </c>
      <c r="F1534" t="s">
        <v>2437</v>
      </c>
      <c r="I1534" t="s">
        <v>2446</v>
      </c>
      <c r="J1534" t="s">
        <v>2447</v>
      </c>
      <c r="K1534" t="s">
        <v>2569</v>
      </c>
      <c r="M1534" t="s">
        <v>2624</v>
      </c>
    </row>
    <row r="1535" spans="1:13">
      <c r="A1535" s="1">
        <f>HYPERLINK("https://lsnyc.legalserver.org/matter/dynamic-profile/view/1880371","18-1880371")</f>
        <v>0</v>
      </c>
      <c r="B1535" t="s">
        <v>18</v>
      </c>
      <c r="C1535" t="s">
        <v>27</v>
      </c>
      <c r="D1535" t="s">
        <v>646</v>
      </c>
      <c r="E1535" t="s">
        <v>2391</v>
      </c>
      <c r="F1535" t="s">
        <v>2437</v>
      </c>
      <c r="J1535" t="s">
        <v>2450</v>
      </c>
      <c r="K1535" t="s">
        <v>2579</v>
      </c>
      <c r="M1535" t="s">
        <v>2615</v>
      </c>
    </row>
    <row r="1536" spans="1:13">
      <c r="A1536" s="1">
        <f>HYPERLINK("https://lsnyc.legalserver.org/matter/dynamic-profile/view/1880374","18-1880374")</f>
        <v>0</v>
      </c>
      <c r="B1536" t="s">
        <v>16</v>
      </c>
      <c r="C1536" t="s">
        <v>23</v>
      </c>
      <c r="D1536" t="s">
        <v>1233</v>
      </c>
      <c r="E1536" t="s">
        <v>2383</v>
      </c>
      <c r="F1536" t="s">
        <v>2437</v>
      </c>
      <c r="I1536" t="s">
        <v>2446</v>
      </c>
      <c r="J1536" t="s">
        <v>2447</v>
      </c>
      <c r="K1536" t="s">
        <v>2569</v>
      </c>
      <c r="M1536" t="s">
        <v>2624</v>
      </c>
    </row>
    <row r="1537" spans="1:13">
      <c r="A1537" s="1">
        <f>HYPERLINK("https://lsnyc.legalserver.org/matter/dynamic-profile/view/1880376","18-1880376")</f>
        <v>0</v>
      </c>
      <c r="B1537" t="s">
        <v>18</v>
      </c>
      <c r="C1537" t="s">
        <v>27</v>
      </c>
      <c r="D1537" t="s">
        <v>645</v>
      </c>
      <c r="E1537" t="s">
        <v>2391</v>
      </c>
      <c r="F1537" t="s">
        <v>2437</v>
      </c>
      <c r="J1537" t="s">
        <v>2450</v>
      </c>
      <c r="K1537" t="s">
        <v>2569</v>
      </c>
      <c r="M1537" t="s">
        <v>2615</v>
      </c>
    </row>
    <row r="1538" spans="1:13">
      <c r="A1538" s="1">
        <f>HYPERLINK("https://lsnyc.legalserver.org/matter/dynamic-profile/view/1880091","18-1880091")</f>
        <v>0</v>
      </c>
      <c r="B1538" t="s">
        <v>16</v>
      </c>
      <c r="C1538" t="s">
        <v>24</v>
      </c>
      <c r="D1538" t="s">
        <v>1234</v>
      </c>
      <c r="E1538" t="s">
        <v>2387</v>
      </c>
      <c r="F1538" t="s">
        <v>2437</v>
      </c>
      <c r="I1538" t="s">
        <v>2446</v>
      </c>
      <c r="J1538" t="s">
        <v>2517</v>
      </c>
      <c r="K1538" t="s">
        <v>2572</v>
      </c>
      <c r="M1538" t="s">
        <v>2629</v>
      </c>
    </row>
    <row r="1539" spans="1:13">
      <c r="A1539" s="1">
        <f>HYPERLINK("https://lsnyc.legalserver.org/matter/dynamic-profile/view/1880152","18-1880152")</f>
        <v>0</v>
      </c>
      <c r="B1539" t="s">
        <v>15</v>
      </c>
      <c r="C1539" t="s">
        <v>30</v>
      </c>
      <c r="D1539" t="s">
        <v>1235</v>
      </c>
      <c r="E1539" t="s">
        <v>2387</v>
      </c>
      <c r="F1539" t="s">
        <v>2437</v>
      </c>
      <c r="J1539" t="s">
        <v>2457</v>
      </c>
      <c r="K1539" t="s">
        <v>2569</v>
      </c>
      <c r="M1539" t="s">
        <v>2629</v>
      </c>
    </row>
    <row r="1540" spans="1:13">
      <c r="A1540" s="1">
        <f>HYPERLINK("https://lsnyc.legalserver.org/matter/dynamic-profile/view/1880170","18-1880170")</f>
        <v>0</v>
      </c>
      <c r="B1540" t="s">
        <v>14</v>
      </c>
      <c r="C1540" t="s">
        <v>26</v>
      </c>
      <c r="D1540" t="s">
        <v>1236</v>
      </c>
      <c r="E1540" t="s">
        <v>2374</v>
      </c>
      <c r="F1540" t="s">
        <v>2437</v>
      </c>
      <c r="I1540" t="s">
        <v>2446</v>
      </c>
      <c r="J1540" t="s">
        <v>2450</v>
      </c>
      <c r="K1540" t="s">
        <v>2569</v>
      </c>
      <c r="M1540" t="s">
        <v>2616</v>
      </c>
    </row>
    <row r="1541" spans="1:13">
      <c r="A1541" s="1">
        <f>HYPERLINK("https://lsnyc.legalserver.org/matter/dynamic-profile/view/1880032","18-1880032")</f>
        <v>0</v>
      </c>
      <c r="B1541" t="s">
        <v>16</v>
      </c>
      <c r="C1541" t="s">
        <v>23</v>
      </c>
      <c r="D1541" t="s">
        <v>1237</v>
      </c>
      <c r="E1541" t="s">
        <v>2390</v>
      </c>
      <c r="F1541" t="s">
        <v>2439</v>
      </c>
      <c r="I1541" t="s">
        <v>2446</v>
      </c>
      <c r="J1541" t="s">
        <v>2448</v>
      </c>
      <c r="K1541" t="s">
        <v>2569</v>
      </c>
      <c r="L1541" t="s">
        <v>2601</v>
      </c>
      <c r="M1541" t="s">
        <v>2631</v>
      </c>
    </row>
    <row r="1542" spans="1:13">
      <c r="A1542" s="1">
        <f>HYPERLINK("https://lsnyc.legalserver.org/matter/dynamic-profile/view/1880118","18-1880118")</f>
        <v>0</v>
      </c>
      <c r="B1542" t="s">
        <v>16</v>
      </c>
      <c r="C1542" t="s">
        <v>24</v>
      </c>
      <c r="D1542" t="s">
        <v>1238</v>
      </c>
      <c r="E1542" t="s">
        <v>2390</v>
      </c>
      <c r="F1542" t="s">
        <v>2439</v>
      </c>
      <c r="I1542" t="s">
        <v>2446</v>
      </c>
      <c r="J1542" t="s">
        <v>2447</v>
      </c>
      <c r="K1542" t="s">
        <v>2569</v>
      </c>
      <c r="L1542" t="s">
        <v>2601</v>
      </c>
      <c r="M1542" t="s">
        <v>2631</v>
      </c>
    </row>
    <row r="1543" spans="1:13">
      <c r="A1543" s="1">
        <f>HYPERLINK("https://lsnyc.legalserver.org/matter/dynamic-profile/view/1880063","18-1880063")</f>
        <v>0</v>
      </c>
      <c r="B1543" t="s">
        <v>18</v>
      </c>
      <c r="C1543" t="s">
        <v>35</v>
      </c>
      <c r="D1543" t="s">
        <v>111</v>
      </c>
      <c r="E1543" t="s">
        <v>2371</v>
      </c>
      <c r="F1543" t="s">
        <v>2440</v>
      </c>
      <c r="I1543" t="s">
        <v>2446</v>
      </c>
      <c r="J1543" t="s">
        <v>2457</v>
      </c>
      <c r="K1543" t="s">
        <v>2572</v>
      </c>
      <c r="L1543" t="s">
        <v>2600</v>
      </c>
      <c r="M1543" t="s">
        <v>2636</v>
      </c>
    </row>
    <row r="1544" spans="1:13">
      <c r="A1544" s="1">
        <f>HYPERLINK("https://lsnyc.legalserver.org/matter/dynamic-profile/view/1880010","18-1880010")</f>
        <v>0</v>
      </c>
      <c r="B1544" t="s">
        <v>15</v>
      </c>
      <c r="C1544" t="s">
        <v>31</v>
      </c>
      <c r="D1544" t="s">
        <v>1109</v>
      </c>
      <c r="E1544" t="s">
        <v>2374</v>
      </c>
      <c r="F1544" t="s">
        <v>2438</v>
      </c>
      <c r="J1544" t="s">
        <v>2450</v>
      </c>
      <c r="K1544" t="s">
        <v>2569</v>
      </c>
      <c r="M1544" t="s">
        <v>2616</v>
      </c>
    </row>
    <row r="1545" spans="1:13">
      <c r="A1545" s="1">
        <f>HYPERLINK("https://lsnyc.legalserver.org/matter/dynamic-profile/view/1880022","18-1880022")</f>
        <v>0</v>
      </c>
      <c r="B1545" t="s">
        <v>15</v>
      </c>
      <c r="C1545" t="s">
        <v>31</v>
      </c>
      <c r="D1545" t="s">
        <v>966</v>
      </c>
      <c r="E1545" t="s">
        <v>2374</v>
      </c>
      <c r="F1545" t="s">
        <v>2438</v>
      </c>
      <c r="J1545" t="s">
        <v>2450</v>
      </c>
      <c r="K1545" t="s">
        <v>2569</v>
      </c>
      <c r="M1545" t="s">
        <v>2616</v>
      </c>
    </row>
    <row r="1546" spans="1:13">
      <c r="A1546" s="1">
        <f>HYPERLINK("https://lsnyc.legalserver.org/matter/dynamic-profile/view/1880066","18-1880066")</f>
        <v>0</v>
      </c>
      <c r="B1546" t="s">
        <v>14</v>
      </c>
      <c r="C1546" t="s">
        <v>26</v>
      </c>
      <c r="D1546" t="s">
        <v>911</v>
      </c>
      <c r="E1546" t="s">
        <v>2374</v>
      </c>
      <c r="F1546" t="s">
        <v>2438</v>
      </c>
      <c r="I1546" t="s">
        <v>2446</v>
      </c>
      <c r="J1546" t="s">
        <v>2450</v>
      </c>
      <c r="K1546" t="s">
        <v>2569</v>
      </c>
      <c r="M1546" t="s">
        <v>2616</v>
      </c>
    </row>
    <row r="1547" spans="1:13">
      <c r="A1547" s="1">
        <f>HYPERLINK("https://lsnyc.legalserver.org/matter/dynamic-profile/view/1880070","18-1880070")</f>
        <v>0</v>
      </c>
      <c r="B1547" t="s">
        <v>16</v>
      </c>
      <c r="C1547" t="s">
        <v>46</v>
      </c>
      <c r="D1547" t="s">
        <v>780</v>
      </c>
      <c r="E1547" t="s">
        <v>2390</v>
      </c>
      <c r="F1547" t="s">
        <v>2437</v>
      </c>
      <c r="J1547" t="s">
        <v>2447</v>
      </c>
      <c r="K1547" t="s">
        <v>2569</v>
      </c>
      <c r="L1547" t="s">
        <v>2600</v>
      </c>
      <c r="M1547" t="s">
        <v>2619</v>
      </c>
    </row>
    <row r="1548" spans="1:13">
      <c r="A1548" s="1">
        <f>HYPERLINK("https://lsnyc.legalserver.org/matter/dynamic-profile/view/1879940","18-1879940")</f>
        <v>0</v>
      </c>
      <c r="B1548" t="s">
        <v>14</v>
      </c>
      <c r="C1548" t="s">
        <v>26</v>
      </c>
      <c r="D1548" t="s">
        <v>1239</v>
      </c>
      <c r="E1548" t="s">
        <v>2374</v>
      </c>
      <c r="F1548" t="s">
        <v>2439</v>
      </c>
      <c r="I1548" t="s">
        <v>2446</v>
      </c>
      <c r="J1548" t="s">
        <v>2450</v>
      </c>
      <c r="K1548" t="s">
        <v>2569</v>
      </c>
      <c r="L1548" t="s">
        <v>2602</v>
      </c>
      <c r="M1548" t="s">
        <v>2631</v>
      </c>
    </row>
    <row r="1549" spans="1:13">
      <c r="A1549" s="1">
        <f>HYPERLINK("https://lsnyc.legalserver.org/matter/dynamic-profile/view/1879913","18-1879913")</f>
        <v>0</v>
      </c>
      <c r="B1549" t="s">
        <v>18</v>
      </c>
      <c r="C1549" t="s">
        <v>27</v>
      </c>
      <c r="D1549" t="s">
        <v>1240</v>
      </c>
      <c r="E1549" t="s">
        <v>2381</v>
      </c>
      <c r="F1549" t="s">
        <v>2440</v>
      </c>
      <c r="I1549" t="s">
        <v>2446</v>
      </c>
      <c r="J1549" t="s">
        <v>2539</v>
      </c>
      <c r="K1549" t="s">
        <v>2572</v>
      </c>
      <c r="L1549" t="s">
        <v>2602</v>
      </c>
      <c r="M1549" t="s">
        <v>2631</v>
      </c>
    </row>
    <row r="1550" spans="1:13">
      <c r="A1550" s="1">
        <f>HYPERLINK("https://lsnyc.legalserver.org/matter/dynamic-profile/view/1879946","18-1879946")</f>
        <v>0</v>
      </c>
      <c r="B1550" t="s">
        <v>14</v>
      </c>
      <c r="C1550" t="s">
        <v>26</v>
      </c>
      <c r="D1550" t="s">
        <v>976</v>
      </c>
      <c r="E1550" t="s">
        <v>2374</v>
      </c>
      <c r="F1550" t="s">
        <v>2438</v>
      </c>
      <c r="I1550" t="s">
        <v>2446</v>
      </c>
      <c r="J1550" t="s">
        <v>2450</v>
      </c>
      <c r="K1550" t="s">
        <v>2569</v>
      </c>
      <c r="L1550" t="s">
        <v>2601</v>
      </c>
      <c r="M1550" t="s">
        <v>2631</v>
      </c>
    </row>
    <row r="1551" spans="1:13">
      <c r="A1551" s="1">
        <f>HYPERLINK("https://lsnyc.legalserver.org/matter/dynamic-profile/view/1879840","18-1879840")</f>
        <v>0</v>
      </c>
      <c r="B1551" t="s">
        <v>16</v>
      </c>
      <c r="C1551" t="s">
        <v>23</v>
      </c>
      <c r="D1551" t="s">
        <v>1241</v>
      </c>
      <c r="E1551" t="s">
        <v>2383</v>
      </c>
      <c r="F1551" t="s">
        <v>2437</v>
      </c>
      <c r="I1551" t="s">
        <v>2446</v>
      </c>
      <c r="J1551" t="s">
        <v>2497</v>
      </c>
      <c r="K1551" t="s">
        <v>2585</v>
      </c>
      <c r="M1551" t="s">
        <v>2624</v>
      </c>
    </row>
    <row r="1552" spans="1:13">
      <c r="A1552" s="1">
        <f>HYPERLINK("https://lsnyc.legalserver.org/matter/dynamic-profile/view/1879854","18-1879854")</f>
        <v>0</v>
      </c>
      <c r="B1552" t="s">
        <v>16</v>
      </c>
      <c r="C1552" t="s">
        <v>23</v>
      </c>
      <c r="D1552" t="s">
        <v>1242</v>
      </c>
      <c r="E1552" t="s">
        <v>2383</v>
      </c>
      <c r="F1552" t="s">
        <v>2437</v>
      </c>
      <c r="I1552" t="s">
        <v>2446</v>
      </c>
      <c r="J1552" t="s">
        <v>2457</v>
      </c>
      <c r="M1552" t="s">
        <v>2624</v>
      </c>
    </row>
    <row r="1553" spans="1:14">
      <c r="A1553" s="1">
        <f>HYPERLINK("https://lsnyc.legalserver.org/matter/dynamic-profile/view/1879873","18-1879873")</f>
        <v>0</v>
      </c>
      <c r="B1553" t="s">
        <v>16</v>
      </c>
      <c r="C1553" t="s">
        <v>23</v>
      </c>
      <c r="D1553" t="s">
        <v>881</v>
      </c>
      <c r="E1553" t="s">
        <v>2383</v>
      </c>
      <c r="F1553" t="s">
        <v>2437</v>
      </c>
      <c r="I1553" t="s">
        <v>2446</v>
      </c>
      <c r="J1553" t="s">
        <v>2457</v>
      </c>
      <c r="K1553" t="s">
        <v>2569</v>
      </c>
      <c r="M1553" t="s">
        <v>2624</v>
      </c>
    </row>
    <row r="1554" spans="1:14">
      <c r="A1554" s="1">
        <f>HYPERLINK("https://lsnyc.legalserver.org/matter/dynamic-profile/view/1879885","18-1879885")</f>
        <v>0</v>
      </c>
      <c r="B1554" t="s">
        <v>16</v>
      </c>
      <c r="C1554" t="s">
        <v>23</v>
      </c>
      <c r="D1554" t="s">
        <v>1243</v>
      </c>
      <c r="E1554" t="s">
        <v>2383</v>
      </c>
      <c r="F1554" t="s">
        <v>2437</v>
      </c>
      <c r="I1554" t="s">
        <v>2446</v>
      </c>
      <c r="J1554" t="s">
        <v>2477</v>
      </c>
      <c r="K1554" t="s">
        <v>2569</v>
      </c>
      <c r="M1554" t="s">
        <v>2624</v>
      </c>
    </row>
    <row r="1555" spans="1:14">
      <c r="A1555" s="1">
        <f>HYPERLINK("https://lsnyc.legalserver.org/matter/dynamic-profile/view/1879914","18-1879914")</f>
        <v>0</v>
      </c>
      <c r="B1555" t="s">
        <v>15</v>
      </c>
      <c r="C1555" t="s">
        <v>30</v>
      </c>
      <c r="D1555" t="s">
        <v>1244</v>
      </c>
      <c r="G1555" t="s">
        <v>2444</v>
      </c>
      <c r="J1555" t="s">
        <v>2465</v>
      </c>
      <c r="K1555" t="s">
        <v>2569</v>
      </c>
      <c r="M1555" t="s">
        <v>2614</v>
      </c>
    </row>
    <row r="1556" spans="1:14">
      <c r="A1556" s="1">
        <f>HYPERLINK("https://lsnyc.legalserver.org/matter/dynamic-profile/view/1879981","18-1879981")</f>
        <v>0</v>
      </c>
      <c r="B1556" t="s">
        <v>18</v>
      </c>
      <c r="C1556" t="s">
        <v>27</v>
      </c>
      <c r="D1556" t="s">
        <v>217</v>
      </c>
      <c r="E1556" t="s">
        <v>2383</v>
      </c>
      <c r="F1556" t="s">
        <v>2437</v>
      </c>
      <c r="I1556" t="s">
        <v>2446</v>
      </c>
      <c r="J1556" t="s">
        <v>2476</v>
      </c>
      <c r="K1556" t="s">
        <v>2572</v>
      </c>
      <c r="L1556" t="s">
        <v>2600</v>
      </c>
      <c r="M1556" t="s">
        <v>2626</v>
      </c>
    </row>
    <row r="1557" spans="1:14">
      <c r="A1557" s="1">
        <f>HYPERLINK("https://lsnyc.legalserver.org/matter/dynamic-profile/view/1879747","18-1879747")</f>
        <v>0</v>
      </c>
      <c r="B1557" t="s">
        <v>18</v>
      </c>
      <c r="C1557" t="s">
        <v>27</v>
      </c>
      <c r="D1557" t="s">
        <v>1245</v>
      </c>
      <c r="E1557" t="s">
        <v>2386</v>
      </c>
      <c r="F1557" t="s">
        <v>2439</v>
      </c>
      <c r="I1557" t="s">
        <v>2446</v>
      </c>
      <c r="J1557" t="s">
        <v>2540</v>
      </c>
      <c r="K1557" t="s">
        <v>2572</v>
      </c>
      <c r="L1557" t="s">
        <v>2602</v>
      </c>
      <c r="M1557" t="s">
        <v>2631</v>
      </c>
    </row>
    <row r="1558" spans="1:14">
      <c r="A1558" s="1">
        <f>HYPERLINK("https://lsnyc.legalserver.org/matter/dynamic-profile/view/1879794","18-1879794")</f>
        <v>0</v>
      </c>
      <c r="B1558" t="s">
        <v>15</v>
      </c>
      <c r="C1558" t="s">
        <v>39</v>
      </c>
      <c r="D1558" t="s">
        <v>1246</v>
      </c>
      <c r="E1558" t="s">
        <v>2381</v>
      </c>
      <c r="F1558" t="s">
        <v>2437</v>
      </c>
      <c r="I1558" t="s">
        <v>2446</v>
      </c>
      <c r="J1558" t="s">
        <v>2455</v>
      </c>
      <c r="K1558" t="s">
        <v>2569</v>
      </c>
      <c r="L1558" t="s">
        <v>2604</v>
      </c>
      <c r="M1558" t="s">
        <v>2622</v>
      </c>
    </row>
    <row r="1559" spans="1:14">
      <c r="A1559" s="1">
        <f>HYPERLINK("https://lsnyc.legalserver.org/matter/dynamic-profile/view/1879766","18-1879766")</f>
        <v>0</v>
      </c>
      <c r="B1559" t="s">
        <v>16</v>
      </c>
      <c r="C1559" t="s">
        <v>23</v>
      </c>
      <c r="D1559" t="s">
        <v>624</v>
      </c>
      <c r="E1559" t="s">
        <v>2383</v>
      </c>
      <c r="F1559" t="s">
        <v>2437</v>
      </c>
      <c r="I1559" t="s">
        <v>2446</v>
      </c>
      <c r="J1559" t="s">
        <v>2488</v>
      </c>
      <c r="K1559" t="s">
        <v>2569</v>
      </c>
      <c r="M1559" t="s">
        <v>2624</v>
      </c>
    </row>
    <row r="1560" spans="1:14">
      <c r="A1560" s="1">
        <f>HYPERLINK("https://lsnyc.legalserver.org/matter/dynamic-profile/view/1879785","18-1879785")</f>
        <v>0</v>
      </c>
      <c r="B1560" t="s">
        <v>16</v>
      </c>
      <c r="C1560" t="s">
        <v>23</v>
      </c>
      <c r="D1560" t="s">
        <v>1247</v>
      </c>
      <c r="E1560" t="s">
        <v>2383</v>
      </c>
      <c r="F1560" t="s">
        <v>2437</v>
      </c>
      <c r="H1560" t="s">
        <v>2445</v>
      </c>
      <c r="K1560" t="s">
        <v>2569</v>
      </c>
      <c r="M1560" t="s">
        <v>2624</v>
      </c>
    </row>
    <row r="1561" spans="1:14">
      <c r="A1561" s="1">
        <f>HYPERLINK("https://lsnyc.legalserver.org/matter/dynamic-profile/view/1879797","18-1879797")</f>
        <v>0</v>
      </c>
      <c r="B1561" t="s">
        <v>14</v>
      </c>
      <c r="C1561" t="s">
        <v>21</v>
      </c>
      <c r="D1561" t="s">
        <v>1248</v>
      </c>
      <c r="E1561" t="s">
        <v>2408</v>
      </c>
      <c r="F1561" t="s">
        <v>2437</v>
      </c>
      <c r="G1561" t="s">
        <v>2444</v>
      </c>
      <c r="I1561" t="s">
        <v>2446</v>
      </c>
      <c r="J1561" t="s">
        <v>2448</v>
      </c>
      <c r="K1561" t="s">
        <v>2569</v>
      </c>
      <c r="L1561" t="s">
        <v>2600</v>
      </c>
      <c r="M1561" t="s">
        <v>2619</v>
      </c>
      <c r="N1561" t="s">
        <v>2648</v>
      </c>
    </row>
    <row r="1562" spans="1:14">
      <c r="A1562" s="1">
        <f>HYPERLINK("https://lsnyc.legalserver.org/matter/dynamic-profile/view/1879798","18-1879798")</f>
        <v>0</v>
      </c>
      <c r="B1562" t="s">
        <v>14</v>
      </c>
      <c r="C1562" t="s">
        <v>21</v>
      </c>
      <c r="D1562" t="s">
        <v>1249</v>
      </c>
      <c r="E1562" t="s">
        <v>2408</v>
      </c>
      <c r="F1562" t="s">
        <v>2437</v>
      </c>
      <c r="G1562" t="s">
        <v>2444</v>
      </c>
      <c r="I1562" t="s">
        <v>2446</v>
      </c>
      <c r="J1562" t="s">
        <v>2448</v>
      </c>
      <c r="K1562" t="s">
        <v>2569</v>
      </c>
      <c r="L1562" t="s">
        <v>2600</v>
      </c>
      <c r="M1562" t="s">
        <v>2619</v>
      </c>
      <c r="N1562" t="s">
        <v>2648</v>
      </c>
    </row>
    <row r="1563" spans="1:14">
      <c r="A1563" s="1">
        <f>HYPERLINK("https://lsnyc.legalserver.org/matter/dynamic-profile/view/1879629","18-1879629")</f>
        <v>0</v>
      </c>
      <c r="B1563" t="s">
        <v>18</v>
      </c>
      <c r="C1563" t="s">
        <v>35</v>
      </c>
      <c r="D1563" t="s">
        <v>1250</v>
      </c>
      <c r="E1563" t="s">
        <v>2390</v>
      </c>
      <c r="F1563" t="s">
        <v>2440</v>
      </c>
      <c r="J1563" t="s">
        <v>2457</v>
      </c>
      <c r="K1563" t="s">
        <v>2569</v>
      </c>
      <c r="L1563" t="s">
        <v>2602</v>
      </c>
      <c r="M1563" t="s">
        <v>2631</v>
      </c>
    </row>
    <row r="1564" spans="1:14">
      <c r="A1564" s="1">
        <f>HYPERLINK("https://lsnyc.legalserver.org/matter/dynamic-profile/view/1879310","18-1879310")</f>
        <v>0</v>
      </c>
      <c r="B1564" t="s">
        <v>19</v>
      </c>
      <c r="C1564" t="s">
        <v>62</v>
      </c>
      <c r="D1564" t="s">
        <v>1251</v>
      </c>
      <c r="E1564" t="s">
        <v>2374</v>
      </c>
      <c r="F1564" t="s">
        <v>2439</v>
      </c>
      <c r="I1564" t="s">
        <v>2446</v>
      </c>
      <c r="J1564" t="s">
        <v>2447</v>
      </c>
      <c r="K1564" t="s">
        <v>2572</v>
      </c>
      <c r="L1564" t="s">
        <v>2601</v>
      </c>
      <c r="M1564" t="s">
        <v>2631</v>
      </c>
    </row>
    <row r="1565" spans="1:14">
      <c r="A1565" s="1">
        <f>HYPERLINK("https://lsnyc.legalserver.org/matter/dynamic-profile/view/1879618","18-1879618")</f>
        <v>0</v>
      </c>
      <c r="B1565" t="s">
        <v>16</v>
      </c>
      <c r="C1565" t="s">
        <v>23</v>
      </c>
      <c r="D1565" t="s">
        <v>474</v>
      </c>
      <c r="E1565" t="s">
        <v>2374</v>
      </c>
      <c r="F1565" t="s">
        <v>2438</v>
      </c>
      <c r="I1565" t="s">
        <v>2446</v>
      </c>
      <c r="J1565" t="s">
        <v>2450</v>
      </c>
      <c r="K1565" t="s">
        <v>2569</v>
      </c>
      <c r="M1565" t="s">
        <v>2616</v>
      </c>
    </row>
    <row r="1566" spans="1:14">
      <c r="A1566" s="1">
        <f>HYPERLINK("https://lsnyc.legalserver.org/matter/dynamic-profile/view/1879624","18-1879624")</f>
        <v>0</v>
      </c>
      <c r="B1566" t="s">
        <v>16</v>
      </c>
      <c r="C1566" t="s">
        <v>23</v>
      </c>
      <c r="D1566" t="s">
        <v>1252</v>
      </c>
      <c r="E1566" t="s">
        <v>2383</v>
      </c>
      <c r="F1566" t="s">
        <v>2437</v>
      </c>
      <c r="I1566" t="s">
        <v>2446</v>
      </c>
      <c r="J1566" t="s">
        <v>2518</v>
      </c>
      <c r="M1566" t="s">
        <v>2624</v>
      </c>
    </row>
    <row r="1567" spans="1:14">
      <c r="A1567" s="1">
        <f>HYPERLINK("https://lsnyc.legalserver.org/matter/dynamic-profile/view/1879626","18-1879626")</f>
        <v>0</v>
      </c>
      <c r="B1567" t="s">
        <v>16</v>
      </c>
      <c r="C1567" t="s">
        <v>23</v>
      </c>
      <c r="D1567" t="s">
        <v>1253</v>
      </c>
      <c r="E1567" t="s">
        <v>2387</v>
      </c>
      <c r="F1567" t="s">
        <v>2437</v>
      </c>
      <c r="I1567" t="s">
        <v>2446</v>
      </c>
      <c r="J1567" t="s">
        <v>2447</v>
      </c>
      <c r="K1567" t="s">
        <v>2569</v>
      </c>
      <c r="M1567" t="s">
        <v>2629</v>
      </c>
    </row>
    <row r="1568" spans="1:14">
      <c r="A1568" s="1">
        <f>HYPERLINK("https://lsnyc.legalserver.org/matter/dynamic-profile/view/1879656","18-1879656")</f>
        <v>0</v>
      </c>
      <c r="B1568" t="s">
        <v>18</v>
      </c>
      <c r="C1568" t="s">
        <v>27</v>
      </c>
      <c r="D1568" t="s">
        <v>1254</v>
      </c>
      <c r="E1568" t="s">
        <v>2394</v>
      </c>
      <c r="F1568" t="s">
        <v>2437</v>
      </c>
      <c r="I1568" t="s">
        <v>2446</v>
      </c>
      <c r="J1568" t="s">
        <v>2448</v>
      </c>
      <c r="K1568" t="s">
        <v>2569</v>
      </c>
      <c r="L1568" t="s">
        <v>2600</v>
      </c>
      <c r="M1568" t="s">
        <v>2627</v>
      </c>
    </row>
    <row r="1569" spans="1:14">
      <c r="A1569" s="1">
        <f>HYPERLINK("https://lsnyc.legalserver.org/matter/dynamic-profile/view/1879679","18-1879679")</f>
        <v>0</v>
      </c>
      <c r="B1569" t="s">
        <v>19</v>
      </c>
      <c r="C1569" t="s">
        <v>50</v>
      </c>
      <c r="D1569" t="s">
        <v>1124</v>
      </c>
      <c r="E1569" t="s">
        <v>2383</v>
      </c>
      <c r="F1569" t="s">
        <v>2437</v>
      </c>
      <c r="I1569" t="s">
        <v>2446</v>
      </c>
      <c r="J1569" t="s">
        <v>2457</v>
      </c>
      <c r="K1569" t="s">
        <v>2572</v>
      </c>
      <c r="L1569" t="s">
        <v>2600</v>
      </c>
      <c r="M1569" t="s">
        <v>2624</v>
      </c>
    </row>
    <row r="1570" spans="1:14">
      <c r="A1570" s="1">
        <f>HYPERLINK("https://lsnyc.legalserver.org/matter/dynamic-profile/view/1879685","18-1879685")</f>
        <v>0</v>
      </c>
      <c r="B1570" t="s">
        <v>19</v>
      </c>
      <c r="C1570" t="s">
        <v>50</v>
      </c>
      <c r="D1570" t="s">
        <v>441</v>
      </c>
      <c r="E1570" t="s">
        <v>2383</v>
      </c>
      <c r="F1570" t="s">
        <v>2437</v>
      </c>
      <c r="I1570" t="s">
        <v>2446</v>
      </c>
      <c r="J1570" t="s">
        <v>2467</v>
      </c>
      <c r="K1570" t="s">
        <v>2572</v>
      </c>
      <c r="M1570" t="s">
        <v>2624</v>
      </c>
    </row>
    <row r="1571" spans="1:14">
      <c r="A1571" s="1">
        <f>HYPERLINK("https://lsnyc.legalserver.org/matter/dynamic-profile/view/1879688","18-1879688")</f>
        <v>0</v>
      </c>
      <c r="B1571" t="s">
        <v>14</v>
      </c>
      <c r="C1571" t="s">
        <v>26</v>
      </c>
      <c r="D1571" t="s">
        <v>267</v>
      </c>
      <c r="E1571" t="s">
        <v>2391</v>
      </c>
      <c r="F1571" t="s">
        <v>2437</v>
      </c>
      <c r="J1571" t="s">
        <v>2447</v>
      </c>
      <c r="K1571" t="s">
        <v>2569</v>
      </c>
      <c r="M1571" t="s">
        <v>2615</v>
      </c>
      <c r="N1571" t="s">
        <v>2648</v>
      </c>
    </row>
    <row r="1572" spans="1:14">
      <c r="A1572" s="1">
        <f>HYPERLINK("https://lsnyc.legalserver.org/matter/dynamic-profile/view/1879573","18-1879573")</f>
        <v>0</v>
      </c>
      <c r="B1572" t="s">
        <v>14</v>
      </c>
      <c r="C1572" t="s">
        <v>26</v>
      </c>
      <c r="D1572" t="s">
        <v>1255</v>
      </c>
      <c r="F1572" t="s">
        <v>2439</v>
      </c>
      <c r="I1572" t="s">
        <v>2446</v>
      </c>
      <c r="J1572" t="s">
        <v>2457</v>
      </c>
      <c r="K1572" t="s">
        <v>2569</v>
      </c>
      <c r="L1572" t="s">
        <v>2602</v>
      </c>
      <c r="M1572" t="s">
        <v>2631</v>
      </c>
    </row>
    <row r="1573" spans="1:14">
      <c r="A1573" s="1">
        <f>HYPERLINK("https://lsnyc.legalserver.org/matter/dynamic-profile/view/1879483","18-1879483")</f>
        <v>0</v>
      </c>
      <c r="B1573" t="s">
        <v>16</v>
      </c>
      <c r="C1573" t="s">
        <v>46</v>
      </c>
      <c r="D1573" t="s">
        <v>1256</v>
      </c>
      <c r="E1573" t="s">
        <v>2390</v>
      </c>
      <c r="F1573" t="s">
        <v>2437</v>
      </c>
      <c r="I1573" t="s">
        <v>2446</v>
      </c>
      <c r="J1573" t="s">
        <v>2450</v>
      </c>
      <c r="K1573" t="s">
        <v>2569</v>
      </c>
      <c r="L1573" t="s">
        <v>2600</v>
      </c>
      <c r="M1573" t="s">
        <v>2619</v>
      </c>
    </row>
    <row r="1574" spans="1:14">
      <c r="A1574" s="1">
        <f>HYPERLINK("https://lsnyc.legalserver.org/matter/dynamic-profile/view/1879493","18-1879493")</f>
        <v>0</v>
      </c>
      <c r="B1574" t="s">
        <v>16</v>
      </c>
      <c r="C1574" t="s">
        <v>46</v>
      </c>
      <c r="D1574" t="s">
        <v>796</v>
      </c>
      <c r="E1574" t="s">
        <v>2390</v>
      </c>
      <c r="F1574" t="s">
        <v>2437</v>
      </c>
      <c r="I1574" t="s">
        <v>2446</v>
      </c>
      <c r="J1574" t="s">
        <v>2517</v>
      </c>
      <c r="K1574" t="s">
        <v>2572</v>
      </c>
      <c r="M1574" t="s">
        <v>2626</v>
      </c>
    </row>
    <row r="1575" spans="1:14">
      <c r="A1575" s="1">
        <f>HYPERLINK("https://lsnyc.legalserver.org/matter/dynamic-profile/view/1879499","18-1879499")</f>
        <v>0</v>
      </c>
      <c r="B1575" t="s">
        <v>19</v>
      </c>
      <c r="C1575" t="s">
        <v>47</v>
      </c>
      <c r="D1575" t="s">
        <v>434</v>
      </c>
      <c r="E1575" t="s">
        <v>2390</v>
      </c>
      <c r="F1575" t="s">
        <v>2437</v>
      </c>
      <c r="I1575" t="s">
        <v>2446</v>
      </c>
      <c r="J1575" t="s">
        <v>2452</v>
      </c>
      <c r="K1575" t="s">
        <v>2572</v>
      </c>
      <c r="M1575" t="s">
        <v>2619</v>
      </c>
      <c r="N1575" t="s">
        <v>2648</v>
      </c>
    </row>
    <row r="1576" spans="1:14">
      <c r="A1576" s="1">
        <f>HYPERLINK("https://lsnyc.legalserver.org/matter/dynamic-profile/view/1879554","18-1879554")</f>
        <v>0</v>
      </c>
      <c r="B1576" t="s">
        <v>15</v>
      </c>
      <c r="C1576" t="s">
        <v>32</v>
      </c>
      <c r="D1576" t="s">
        <v>984</v>
      </c>
      <c r="E1576" t="s">
        <v>2374</v>
      </c>
      <c r="F1576" t="s">
        <v>2438</v>
      </c>
      <c r="J1576" t="s">
        <v>2465</v>
      </c>
      <c r="K1576" t="s">
        <v>2569</v>
      </c>
      <c r="L1576" t="s">
        <v>2600</v>
      </c>
      <c r="M1576" t="s">
        <v>2616</v>
      </c>
      <c r="N1576" t="s">
        <v>2649</v>
      </c>
    </row>
    <row r="1577" spans="1:14">
      <c r="A1577" s="1">
        <f>HYPERLINK("https://lsnyc.legalserver.org/matter/dynamic-profile/view/1879558","18-1879558")</f>
        <v>0</v>
      </c>
      <c r="B1577" t="s">
        <v>15</v>
      </c>
      <c r="C1577" t="s">
        <v>37</v>
      </c>
      <c r="D1577" t="s">
        <v>1257</v>
      </c>
      <c r="E1577" t="s">
        <v>2387</v>
      </c>
      <c r="F1577" t="s">
        <v>2437</v>
      </c>
      <c r="I1577" t="s">
        <v>2446</v>
      </c>
      <c r="J1577" t="s">
        <v>2452</v>
      </c>
      <c r="M1577" t="s">
        <v>2629</v>
      </c>
    </row>
    <row r="1578" spans="1:14">
      <c r="A1578" s="1">
        <f>HYPERLINK("https://lsnyc.legalserver.org/matter/dynamic-profile/view/1879559","18-1879559")</f>
        <v>0</v>
      </c>
      <c r="B1578" t="s">
        <v>16</v>
      </c>
      <c r="C1578" t="s">
        <v>23</v>
      </c>
      <c r="D1578" t="s">
        <v>1258</v>
      </c>
      <c r="E1578" t="s">
        <v>2390</v>
      </c>
      <c r="F1578" t="s">
        <v>2437</v>
      </c>
      <c r="I1578" t="s">
        <v>2446</v>
      </c>
      <c r="J1578" t="s">
        <v>2465</v>
      </c>
      <c r="K1578" t="s">
        <v>2569</v>
      </c>
      <c r="M1578" t="s">
        <v>2619</v>
      </c>
    </row>
    <row r="1579" spans="1:14">
      <c r="A1579" s="1">
        <f>HYPERLINK("https://lsnyc.legalserver.org/matter/dynamic-profile/view/1879575","18-1879575")</f>
        <v>0</v>
      </c>
      <c r="B1579" t="s">
        <v>19</v>
      </c>
      <c r="C1579" t="s">
        <v>54</v>
      </c>
      <c r="D1579" t="s">
        <v>1259</v>
      </c>
      <c r="E1579" t="s">
        <v>2374</v>
      </c>
      <c r="F1579" t="s">
        <v>2438</v>
      </c>
      <c r="I1579" t="s">
        <v>2446</v>
      </c>
      <c r="J1579" t="s">
        <v>2467</v>
      </c>
      <c r="K1579" t="s">
        <v>2572</v>
      </c>
      <c r="L1579" t="s">
        <v>2600</v>
      </c>
      <c r="M1579" t="s">
        <v>2616</v>
      </c>
    </row>
    <row r="1580" spans="1:14">
      <c r="A1580" s="1">
        <f>HYPERLINK("https://lsnyc.legalserver.org/matter/dynamic-profile/view/1879394","18-1879394")</f>
        <v>0</v>
      </c>
      <c r="B1580" t="s">
        <v>19</v>
      </c>
      <c r="C1580" t="s">
        <v>62</v>
      </c>
      <c r="D1580" t="s">
        <v>1126</v>
      </c>
      <c r="E1580" t="s">
        <v>2383</v>
      </c>
      <c r="F1580" t="s">
        <v>2437</v>
      </c>
      <c r="I1580" t="s">
        <v>2446</v>
      </c>
      <c r="J1580" t="s">
        <v>2457</v>
      </c>
      <c r="K1580" t="s">
        <v>2569</v>
      </c>
      <c r="L1580" t="s">
        <v>2600</v>
      </c>
      <c r="M1580" t="s">
        <v>2624</v>
      </c>
    </row>
    <row r="1581" spans="1:14">
      <c r="A1581" s="1">
        <f>HYPERLINK("https://lsnyc.legalserver.org/matter/dynamic-profile/view/1879365","18-1879365")</f>
        <v>0</v>
      </c>
      <c r="B1581" t="s">
        <v>18</v>
      </c>
      <c r="C1581" t="s">
        <v>27</v>
      </c>
      <c r="D1581" t="s">
        <v>1260</v>
      </c>
      <c r="E1581" t="s">
        <v>2393</v>
      </c>
      <c r="F1581" t="s">
        <v>2437</v>
      </c>
      <c r="I1581" t="s">
        <v>2446</v>
      </c>
      <c r="J1581" t="s">
        <v>2448</v>
      </c>
      <c r="K1581" t="s">
        <v>2569</v>
      </c>
      <c r="L1581" t="s">
        <v>2603</v>
      </c>
      <c r="M1581" t="s">
        <v>2637</v>
      </c>
    </row>
    <row r="1582" spans="1:14">
      <c r="A1582" s="1">
        <f>HYPERLINK("https://lsnyc.legalserver.org/matter/dynamic-profile/view/1879373","18-1879373")</f>
        <v>0</v>
      </c>
      <c r="B1582" t="s">
        <v>19</v>
      </c>
      <c r="C1582" t="s">
        <v>50</v>
      </c>
      <c r="D1582" t="s">
        <v>1261</v>
      </c>
      <c r="E1582" t="s">
        <v>2390</v>
      </c>
      <c r="F1582" t="s">
        <v>2437</v>
      </c>
      <c r="I1582" t="s">
        <v>2446</v>
      </c>
      <c r="J1582" t="s">
        <v>2516</v>
      </c>
      <c r="K1582" t="s">
        <v>2572</v>
      </c>
      <c r="L1582" t="s">
        <v>2601</v>
      </c>
      <c r="M1582" t="s">
        <v>2631</v>
      </c>
    </row>
    <row r="1583" spans="1:14">
      <c r="A1583" s="1">
        <f>HYPERLINK("https://lsnyc.legalserver.org/matter/dynamic-profile/view/1879378","18-1879378")</f>
        <v>0</v>
      </c>
      <c r="B1583" t="s">
        <v>16</v>
      </c>
      <c r="C1583" t="s">
        <v>23</v>
      </c>
      <c r="D1583" t="s">
        <v>1262</v>
      </c>
      <c r="E1583" t="s">
        <v>2383</v>
      </c>
      <c r="F1583" t="s">
        <v>2437</v>
      </c>
      <c r="I1583" t="s">
        <v>2446</v>
      </c>
      <c r="J1583" t="s">
        <v>2457</v>
      </c>
      <c r="K1583" t="s">
        <v>2569</v>
      </c>
      <c r="L1583" t="s">
        <v>2600</v>
      </c>
      <c r="M1583" t="s">
        <v>2624</v>
      </c>
    </row>
    <row r="1584" spans="1:14">
      <c r="A1584" s="1">
        <f>HYPERLINK("https://lsnyc.legalserver.org/matter/dynamic-profile/view/1879319","18-1879319")</f>
        <v>0</v>
      </c>
      <c r="B1584" t="s">
        <v>16</v>
      </c>
      <c r="C1584" t="s">
        <v>46</v>
      </c>
      <c r="D1584" t="s">
        <v>1263</v>
      </c>
      <c r="E1584" t="s">
        <v>2390</v>
      </c>
      <c r="F1584" t="s">
        <v>2437</v>
      </c>
      <c r="J1584" t="s">
        <v>2448</v>
      </c>
      <c r="K1584" t="s">
        <v>2569</v>
      </c>
      <c r="L1584" t="s">
        <v>2600</v>
      </c>
      <c r="M1584" t="s">
        <v>2619</v>
      </c>
    </row>
    <row r="1585" spans="1:13">
      <c r="A1585" s="1">
        <f>HYPERLINK("https://lsnyc.legalserver.org/matter/dynamic-profile/view/1879370","18-1879370")</f>
        <v>0</v>
      </c>
      <c r="B1585" t="s">
        <v>16</v>
      </c>
      <c r="C1585" t="s">
        <v>23</v>
      </c>
      <c r="D1585" t="s">
        <v>1264</v>
      </c>
      <c r="E1585" t="s">
        <v>2383</v>
      </c>
      <c r="F1585" t="s">
        <v>2437</v>
      </c>
      <c r="I1585" t="s">
        <v>2446</v>
      </c>
      <c r="J1585" t="s">
        <v>2449</v>
      </c>
      <c r="K1585" t="s">
        <v>2569</v>
      </c>
      <c r="M1585" t="s">
        <v>2624</v>
      </c>
    </row>
    <row r="1586" spans="1:13">
      <c r="A1586" s="1">
        <f>HYPERLINK("https://lsnyc.legalserver.org/matter/dynamic-profile/view/1879401","18-1879401")</f>
        <v>0</v>
      </c>
      <c r="B1586" t="s">
        <v>16</v>
      </c>
      <c r="C1586" t="s">
        <v>23</v>
      </c>
      <c r="D1586" t="s">
        <v>1265</v>
      </c>
      <c r="E1586" t="s">
        <v>2390</v>
      </c>
      <c r="F1586" t="s">
        <v>2437</v>
      </c>
      <c r="I1586" t="s">
        <v>2446</v>
      </c>
      <c r="J1586" t="s">
        <v>2447</v>
      </c>
      <c r="K1586" t="s">
        <v>2569</v>
      </c>
      <c r="M1586" t="s">
        <v>2619</v>
      </c>
    </row>
    <row r="1587" spans="1:13">
      <c r="A1587" s="1">
        <f>HYPERLINK("https://lsnyc.legalserver.org/matter/dynamic-profile/view/1879429","18-1879429")</f>
        <v>0</v>
      </c>
      <c r="B1587" t="s">
        <v>16</v>
      </c>
      <c r="C1587" t="s">
        <v>46</v>
      </c>
      <c r="D1587" t="s">
        <v>1266</v>
      </c>
      <c r="E1587" t="s">
        <v>2370</v>
      </c>
      <c r="F1587" t="s">
        <v>2437</v>
      </c>
      <c r="I1587" t="s">
        <v>2446</v>
      </c>
      <c r="J1587" t="s">
        <v>2452</v>
      </c>
      <c r="K1587" t="s">
        <v>2572</v>
      </c>
      <c r="M1587" t="s">
        <v>2638</v>
      </c>
    </row>
    <row r="1588" spans="1:13">
      <c r="A1588" s="1">
        <f>HYPERLINK("https://lsnyc.legalserver.org/matter/dynamic-profile/view/1879123","18-1879123")</f>
        <v>0</v>
      </c>
      <c r="B1588" t="s">
        <v>18</v>
      </c>
      <c r="C1588" t="s">
        <v>27</v>
      </c>
      <c r="D1588" t="s">
        <v>1267</v>
      </c>
      <c r="E1588" t="s">
        <v>2381</v>
      </c>
      <c r="F1588" t="s">
        <v>2437</v>
      </c>
      <c r="I1588" t="s">
        <v>2446</v>
      </c>
      <c r="J1588" t="s">
        <v>2485</v>
      </c>
      <c r="K1588" t="s">
        <v>2572</v>
      </c>
      <c r="L1588" t="s">
        <v>2600</v>
      </c>
      <c r="M1588" t="s">
        <v>2622</v>
      </c>
    </row>
    <row r="1589" spans="1:13">
      <c r="A1589" s="1">
        <f>HYPERLINK("https://lsnyc.legalserver.org/matter/dynamic-profile/view/1879188","18-1879188")</f>
        <v>0</v>
      </c>
      <c r="B1589" t="s">
        <v>19</v>
      </c>
      <c r="C1589" t="s">
        <v>54</v>
      </c>
      <c r="D1589" t="s">
        <v>1268</v>
      </c>
      <c r="E1589" t="s">
        <v>2385</v>
      </c>
      <c r="F1589" t="s">
        <v>2438</v>
      </c>
      <c r="I1589" t="s">
        <v>2446</v>
      </c>
      <c r="J1589" t="s">
        <v>2450</v>
      </c>
      <c r="K1589" t="s">
        <v>2572</v>
      </c>
      <c r="L1589" t="s">
        <v>2601</v>
      </c>
      <c r="M1589" t="s">
        <v>2631</v>
      </c>
    </row>
    <row r="1590" spans="1:13">
      <c r="A1590" s="1">
        <f>HYPERLINK("https://lsnyc.legalserver.org/matter/dynamic-profile/view/1879249","18-1879249")</f>
        <v>0</v>
      </c>
      <c r="B1590" t="s">
        <v>16</v>
      </c>
      <c r="C1590" t="s">
        <v>46</v>
      </c>
      <c r="D1590" t="s">
        <v>1269</v>
      </c>
      <c r="E1590" t="s">
        <v>2390</v>
      </c>
      <c r="F1590" t="s">
        <v>2437</v>
      </c>
      <c r="I1590" t="s">
        <v>2446</v>
      </c>
      <c r="J1590" t="s">
        <v>2447</v>
      </c>
      <c r="K1590" t="s">
        <v>2569</v>
      </c>
      <c r="M1590" t="s">
        <v>2619</v>
      </c>
    </row>
    <row r="1591" spans="1:13">
      <c r="A1591" s="1">
        <f>HYPERLINK("https://lsnyc.legalserver.org/matter/dynamic-profile/view/1879065","18-1879065")</f>
        <v>0</v>
      </c>
      <c r="B1591" t="s">
        <v>16</v>
      </c>
      <c r="C1591" t="s">
        <v>24</v>
      </c>
      <c r="D1591" t="s">
        <v>1270</v>
      </c>
      <c r="E1591" t="s">
        <v>2390</v>
      </c>
      <c r="F1591" t="s">
        <v>2439</v>
      </c>
      <c r="I1591" t="s">
        <v>2446</v>
      </c>
      <c r="J1591" t="s">
        <v>2468</v>
      </c>
      <c r="K1591" t="s">
        <v>2572</v>
      </c>
      <c r="L1591" t="s">
        <v>2601</v>
      </c>
      <c r="M1591" t="s">
        <v>2631</v>
      </c>
    </row>
    <row r="1592" spans="1:13">
      <c r="A1592" s="1">
        <f>HYPERLINK("https://lsnyc.legalserver.org/matter/dynamic-profile/view/1879078","18-1879078")</f>
        <v>0</v>
      </c>
      <c r="B1592" t="s">
        <v>16</v>
      </c>
      <c r="C1592" t="s">
        <v>24</v>
      </c>
      <c r="D1592" t="s">
        <v>1271</v>
      </c>
      <c r="E1592" t="s">
        <v>2390</v>
      </c>
      <c r="F1592" t="s">
        <v>2439</v>
      </c>
      <c r="I1592" t="s">
        <v>2446</v>
      </c>
      <c r="J1592" t="s">
        <v>2452</v>
      </c>
      <c r="K1592" t="s">
        <v>2572</v>
      </c>
      <c r="L1592" t="s">
        <v>2601</v>
      </c>
      <c r="M1592" t="s">
        <v>2631</v>
      </c>
    </row>
    <row r="1593" spans="1:13">
      <c r="A1593" s="1">
        <f>HYPERLINK("https://lsnyc.legalserver.org/matter/dynamic-profile/view/1878944","18-1878944")</f>
        <v>0</v>
      </c>
      <c r="B1593" t="s">
        <v>19</v>
      </c>
      <c r="C1593" t="s">
        <v>54</v>
      </c>
      <c r="D1593" t="s">
        <v>1272</v>
      </c>
      <c r="E1593" t="s">
        <v>2406</v>
      </c>
      <c r="F1593" t="s">
        <v>2437</v>
      </c>
      <c r="I1593" t="s">
        <v>2446</v>
      </c>
      <c r="J1593" t="s">
        <v>2460</v>
      </c>
      <c r="K1593" t="s">
        <v>2572</v>
      </c>
      <c r="M1593" t="s">
        <v>2642</v>
      </c>
    </row>
    <row r="1594" spans="1:13">
      <c r="A1594" s="1">
        <f>HYPERLINK("https://lsnyc.legalserver.org/matter/dynamic-profile/view/1879095","18-1879095")</f>
        <v>0</v>
      </c>
      <c r="B1594" t="s">
        <v>19</v>
      </c>
      <c r="C1594" t="s">
        <v>54</v>
      </c>
      <c r="D1594" t="s">
        <v>1273</v>
      </c>
      <c r="E1594" t="s">
        <v>2406</v>
      </c>
      <c r="F1594" t="s">
        <v>2437</v>
      </c>
      <c r="I1594" t="s">
        <v>2446</v>
      </c>
      <c r="J1594" t="s">
        <v>2457</v>
      </c>
      <c r="K1594" t="s">
        <v>2569</v>
      </c>
      <c r="L1594" t="s">
        <v>2600</v>
      </c>
      <c r="M1594" t="s">
        <v>2642</v>
      </c>
    </row>
    <row r="1595" spans="1:13">
      <c r="A1595" s="1">
        <f>HYPERLINK("https://lsnyc.legalserver.org/matter/dynamic-profile/view/1878864","18-1878864")</f>
        <v>0</v>
      </c>
      <c r="B1595" t="s">
        <v>18</v>
      </c>
      <c r="C1595" t="s">
        <v>35</v>
      </c>
      <c r="D1595" t="s">
        <v>1274</v>
      </c>
      <c r="E1595" t="s">
        <v>2380</v>
      </c>
      <c r="F1595" t="s">
        <v>2440</v>
      </c>
      <c r="J1595" t="s">
        <v>2448</v>
      </c>
      <c r="K1595" t="s">
        <v>2569</v>
      </c>
      <c r="L1595" t="s">
        <v>2600</v>
      </c>
      <c r="M1595" t="s">
        <v>2631</v>
      </c>
    </row>
    <row r="1596" spans="1:13">
      <c r="A1596" s="1">
        <f>HYPERLINK("https://lsnyc.legalserver.org/matter/dynamic-profile/view/1878889","18-1878889")</f>
        <v>0</v>
      </c>
      <c r="B1596" t="s">
        <v>19</v>
      </c>
      <c r="C1596" t="s">
        <v>47</v>
      </c>
      <c r="D1596" t="s">
        <v>1275</v>
      </c>
      <c r="E1596" t="s">
        <v>2376</v>
      </c>
      <c r="F1596" t="s">
        <v>2437</v>
      </c>
      <c r="I1596" t="s">
        <v>2446</v>
      </c>
      <c r="J1596" t="s">
        <v>2490</v>
      </c>
      <c r="K1596" t="s">
        <v>2572</v>
      </c>
      <c r="L1596" t="s">
        <v>2600</v>
      </c>
      <c r="M1596" t="s">
        <v>2631</v>
      </c>
    </row>
    <row r="1597" spans="1:13">
      <c r="A1597" s="1">
        <f>HYPERLINK("https://lsnyc.legalserver.org/matter/dynamic-profile/view/1878971","18-1878971")</f>
        <v>0</v>
      </c>
      <c r="B1597" t="s">
        <v>18</v>
      </c>
      <c r="C1597" t="s">
        <v>27</v>
      </c>
      <c r="D1597" t="s">
        <v>1260</v>
      </c>
      <c r="E1597" t="s">
        <v>2390</v>
      </c>
      <c r="F1597" t="s">
        <v>2439</v>
      </c>
      <c r="J1597" t="s">
        <v>2448</v>
      </c>
      <c r="K1597" t="s">
        <v>2569</v>
      </c>
      <c r="L1597" t="s">
        <v>2602</v>
      </c>
      <c r="M1597" t="s">
        <v>2631</v>
      </c>
    </row>
    <row r="1598" spans="1:13">
      <c r="A1598" s="1">
        <f>HYPERLINK("https://lsnyc.legalserver.org/matter/dynamic-profile/view/1878962","18-1878962")</f>
        <v>0</v>
      </c>
      <c r="B1598" t="s">
        <v>16</v>
      </c>
      <c r="C1598" t="s">
        <v>23</v>
      </c>
      <c r="D1598" t="s">
        <v>1276</v>
      </c>
      <c r="E1598" t="s">
        <v>2390</v>
      </c>
      <c r="F1598" t="s">
        <v>2439</v>
      </c>
      <c r="I1598" t="s">
        <v>2446</v>
      </c>
      <c r="J1598" t="s">
        <v>2447</v>
      </c>
      <c r="K1598" t="s">
        <v>2569</v>
      </c>
      <c r="L1598" t="s">
        <v>2601</v>
      </c>
      <c r="M1598" t="s">
        <v>2631</v>
      </c>
    </row>
    <row r="1599" spans="1:13">
      <c r="A1599" s="1">
        <f>HYPERLINK("https://lsnyc.legalserver.org/matter/dynamic-profile/view/1878964","18-1878964")</f>
        <v>0</v>
      </c>
      <c r="B1599" t="s">
        <v>18</v>
      </c>
      <c r="C1599" t="s">
        <v>35</v>
      </c>
      <c r="D1599" t="s">
        <v>1277</v>
      </c>
      <c r="E1599" t="s">
        <v>2376</v>
      </c>
      <c r="F1599" t="s">
        <v>2437</v>
      </c>
      <c r="J1599" t="s">
        <v>2449</v>
      </c>
      <c r="K1599" t="s">
        <v>2572</v>
      </c>
      <c r="L1599" t="s">
        <v>2608</v>
      </c>
      <c r="M1599" t="s">
        <v>2618</v>
      </c>
    </row>
    <row r="1600" spans="1:13">
      <c r="A1600" s="1">
        <f>HYPERLINK("https://lsnyc.legalserver.org/matter/dynamic-profile/view/1878878","18-1878878")</f>
        <v>0</v>
      </c>
      <c r="B1600" t="s">
        <v>18</v>
      </c>
      <c r="C1600" t="s">
        <v>35</v>
      </c>
      <c r="D1600" t="s">
        <v>1274</v>
      </c>
      <c r="E1600" t="s">
        <v>2426</v>
      </c>
      <c r="F1600" t="s">
        <v>2437</v>
      </c>
      <c r="I1600" t="s">
        <v>2446</v>
      </c>
      <c r="J1600" t="s">
        <v>2448</v>
      </c>
      <c r="K1600" t="s">
        <v>2569</v>
      </c>
      <c r="L1600" t="s">
        <v>2603</v>
      </c>
      <c r="M1600" t="s">
        <v>2627</v>
      </c>
    </row>
    <row r="1601" spans="1:14">
      <c r="A1601" s="1">
        <f>HYPERLINK("https://lsnyc.legalserver.org/matter/dynamic-profile/view/1878906","18-1878906")</f>
        <v>0</v>
      </c>
      <c r="B1601" t="s">
        <v>16</v>
      </c>
      <c r="C1601" t="s">
        <v>23</v>
      </c>
      <c r="D1601" t="s">
        <v>1278</v>
      </c>
      <c r="E1601" t="s">
        <v>2375</v>
      </c>
      <c r="F1601" t="s">
        <v>2437</v>
      </c>
      <c r="I1601" t="s">
        <v>2446</v>
      </c>
      <c r="J1601" t="s">
        <v>2471</v>
      </c>
      <c r="K1601" t="s">
        <v>2571</v>
      </c>
      <c r="M1601" t="s">
        <v>2617</v>
      </c>
    </row>
    <row r="1602" spans="1:14">
      <c r="A1602" s="1">
        <f>HYPERLINK("https://lsnyc.legalserver.org/matter/dynamic-profile/view/1878932","18-1878932")</f>
        <v>0</v>
      </c>
      <c r="B1602" t="s">
        <v>15</v>
      </c>
      <c r="C1602" t="s">
        <v>31</v>
      </c>
      <c r="D1602" t="s">
        <v>1279</v>
      </c>
      <c r="E1602" t="s">
        <v>2383</v>
      </c>
      <c r="F1602" t="s">
        <v>2437</v>
      </c>
      <c r="I1602" t="s">
        <v>2446</v>
      </c>
      <c r="J1602" t="s">
        <v>2448</v>
      </c>
      <c r="K1602" t="s">
        <v>2569</v>
      </c>
      <c r="L1602" t="s">
        <v>2600</v>
      </c>
      <c r="M1602" t="s">
        <v>2626</v>
      </c>
    </row>
    <row r="1603" spans="1:14">
      <c r="A1603" s="1">
        <f>HYPERLINK("https://lsnyc.legalserver.org/matter/dynamic-profile/view/1879226","18-1879226")</f>
        <v>0</v>
      </c>
      <c r="B1603" t="s">
        <v>17</v>
      </c>
      <c r="C1603" t="s">
        <v>42</v>
      </c>
      <c r="D1603" t="s">
        <v>1280</v>
      </c>
      <c r="E1603" t="s">
        <v>2374</v>
      </c>
      <c r="F1603" t="s">
        <v>2438</v>
      </c>
      <c r="I1603" t="s">
        <v>2446</v>
      </c>
      <c r="J1603" t="s">
        <v>2465</v>
      </c>
      <c r="K1603" t="s">
        <v>2569</v>
      </c>
      <c r="M1603" t="s">
        <v>2616</v>
      </c>
    </row>
    <row r="1604" spans="1:14">
      <c r="A1604" s="1">
        <f>HYPERLINK("https://lsnyc.legalserver.org/matter/dynamic-profile/view/1878842","18-1878842")</f>
        <v>0</v>
      </c>
      <c r="B1604" t="s">
        <v>14</v>
      </c>
      <c r="C1604" t="s">
        <v>26</v>
      </c>
      <c r="D1604" t="s">
        <v>1281</v>
      </c>
      <c r="F1604" t="s">
        <v>2439</v>
      </c>
      <c r="I1604" t="s">
        <v>2446</v>
      </c>
      <c r="J1604" t="s">
        <v>2450</v>
      </c>
      <c r="K1604" t="s">
        <v>2569</v>
      </c>
      <c r="L1604" t="s">
        <v>2601</v>
      </c>
      <c r="M1604" t="s">
        <v>2631</v>
      </c>
    </row>
    <row r="1605" spans="1:14">
      <c r="A1605" s="1">
        <f>HYPERLINK("https://lsnyc.legalserver.org/matter/dynamic-profile/view/1877676","18-1877676")</f>
        <v>0</v>
      </c>
      <c r="B1605" t="s">
        <v>17</v>
      </c>
      <c r="C1605" t="s">
        <v>28</v>
      </c>
      <c r="D1605" t="s">
        <v>1282</v>
      </c>
      <c r="E1605" t="s">
        <v>2385</v>
      </c>
      <c r="F1605" t="s">
        <v>2438</v>
      </c>
      <c r="I1605" t="s">
        <v>2446</v>
      </c>
      <c r="J1605" t="s">
        <v>2450</v>
      </c>
      <c r="K1605" t="s">
        <v>2569</v>
      </c>
      <c r="L1605" t="s">
        <v>2600</v>
      </c>
      <c r="M1605" t="s">
        <v>2616</v>
      </c>
    </row>
    <row r="1606" spans="1:14">
      <c r="A1606" s="1">
        <f>HYPERLINK("https://lsnyc.legalserver.org/matter/dynamic-profile/view/1878765","18-1878765")</f>
        <v>0</v>
      </c>
      <c r="B1606" t="s">
        <v>19</v>
      </c>
      <c r="C1606" t="s">
        <v>47</v>
      </c>
      <c r="D1606" t="s">
        <v>1283</v>
      </c>
      <c r="E1606" t="s">
        <v>2376</v>
      </c>
      <c r="F1606" t="s">
        <v>2437</v>
      </c>
      <c r="J1606" t="s">
        <v>2506</v>
      </c>
      <c r="K1606" t="s">
        <v>2572</v>
      </c>
      <c r="L1606" t="s">
        <v>2605</v>
      </c>
      <c r="M1606" t="s">
        <v>2626</v>
      </c>
      <c r="N1606" t="s">
        <v>2648</v>
      </c>
    </row>
    <row r="1607" spans="1:14">
      <c r="A1607" s="1">
        <f>HYPERLINK("https://lsnyc.legalserver.org/matter/dynamic-profile/view/1878774","18-1878774")</f>
        <v>0</v>
      </c>
      <c r="B1607" t="s">
        <v>19</v>
      </c>
      <c r="C1607" t="s">
        <v>50</v>
      </c>
      <c r="D1607" t="s">
        <v>1284</v>
      </c>
      <c r="E1607" t="s">
        <v>2378</v>
      </c>
      <c r="F1607" t="s">
        <v>2437</v>
      </c>
      <c r="I1607" t="s">
        <v>2446</v>
      </c>
      <c r="J1607" t="s">
        <v>2453</v>
      </c>
      <c r="K1607" t="s">
        <v>2572</v>
      </c>
      <c r="L1607" t="s">
        <v>2604</v>
      </c>
      <c r="M1607" t="s">
        <v>2619</v>
      </c>
    </row>
    <row r="1608" spans="1:14">
      <c r="A1608" s="1">
        <f>HYPERLINK("https://lsnyc.legalserver.org/matter/dynamic-profile/view/1878773","18-1878773")</f>
        <v>0</v>
      </c>
      <c r="B1608" t="s">
        <v>16</v>
      </c>
      <c r="C1608" t="s">
        <v>23</v>
      </c>
      <c r="D1608" t="s">
        <v>1285</v>
      </c>
      <c r="E1608" t="s">
        <v>2375</v>
      </c>
      <c r="F1608" t="s">
        <v>2437</v>
      </c>
      <c r="I1608" t="s">
        <v>2446</v>
      </c>
      <c r="J1608" t="s">
        <v>2455</v>
      </c>
      <c r="K1608" t="s">
        <v>2569</v>
      </c>
      <c r="L1608" t="s">
        <v>2604</v>
      </c>
      <c r="M1608" t="s">
        <v>2617</v>
      </c>
    </row>
    <row r="1609" spans="1:14">
      <c r="A1609" s="1">
        <f>HYPERLINK("https://lsnyc.legalserver.org/matter/dynamic-profile/view/1876917","18-1876917")</f>
        <v>0</v>
      </c>
      <c r="B1609" t="s">
        <v>17</v>
      </c>
      <c r="C1609" t="s">
        <v>36</v>
      </c>
      <c r="D1609" t="s">
        <v>1286</v>
      </c>
      <c r="E1609" t="s">
        <v>2385</v>
      </c>
      <c r="F1609" t="s">
        <v>2438</v>
      </c>
      <c r="I1609" t="s">
        <v>2446</v>
      </c>
      <c r="J1609" t="s">
        <v>2465</v>
      </c>
      <c r="K1609" t="s">
        <v>2569</v>
      </c>
      <c r="L1609" t="s">
        <v>2600</v>
      </c>
      <c r="M1609" t="s">
        <v>2616</v>
      </c>
    </row>
    <row r="1610" spans="1:14">
      <c r="A1610" s="1">
        <f>HYPERLINK("https://lsnyc.legalserver.org/matter/dynamic-profile/view/1877044","18-1877044")</f>
        <v>0</v>
      </c>
      <c r="B1610" t="s">
        <v>17</v>
      </c>
      <c r="C1610" t="s">
        <v>36</v>
      </c>
      <c r="D1610" t="s">
        <v>1287</v>
      </c>
      <c r="E1610" t="s">
        <v>2405</v>
      </c>
      <c r="F1610" t="s">
        <v>2437</v>
      </c>
      <c r="J1610" t="s">
        <v>2457</v>
      </c>
      <c r="K1610" t="s">
        <v>2569</v>
      </c>
      <c r="M1610" t="s">
        <v>2613</v>
      </c>
    </row>
    <row r="1611" spans="1:14">
      <c r="A1611" s="1">
        <f>HYPERLINK("https://lsnyc.legalserver.org/matter/dynamic-profile/view/1878758","18-1878758")</f>
        <v>0</v>
      </c>
      <c r="B1611" t="s">
        <v>19</v>
      </c>
      <c r="C1611" t="s">
        <v>50</v>
      </c>
      <c r="D1611" t="s">
        <v>1288</v>
      </c>
      <c r="E1611" t="s">
        <v>2375</v>
      </c>
      <c r="F1611" t="s">
        <v>2437</v>
      </c>
      <c r="I1611" t="s">
        <v>2446</v>
      </c>
      <c r="J1611" t="s">
        <v>2447</v>
      </c>
      <c r="K1611" t="s">
        <v>2569</v>
      </c>
      <c r="M1611" t="s">
        <v>2617</v>
      </c>
    </row>
    <row r="1612" spans="1:14">
      <c r="A1612" s="1">
        <f>HYPERLINK("https://lsnyc.legalserver.org/matter/dynamic-profile/view/1878695","18-1878695")</f>
        <v>0</v>
      </c>
      <c r="B1612" t="s">
        <v>18</v>
      </c>
      <c r="C1612" t="s">
        <v>34</v>
      </c>
      <c r="D1612" t="s">
        <v>1289</v>
      </c>
      <c r="E1612" t="s">
        <v>2376</v>
      </c>
      <c r="F1612" t="s">
        <v>2440</v>
      </c>
      <c r="J1612" t="s">
        <v>2448</v>
      </c>
      <c r="K1612" t="s">
        <v>2569</v>
      </c>
      <c r="L1612" t="s">
        <v>2600</v>
      </c>
      <c r="M1612" t="s">
        <v>2631</v>
      </c>
    </row>
    <row r="1613" spans="1:14">
      <c r="A1613" s="1">
        <f>HYPERLINK("https://lsnyc.legalserver.org/matter/dynamic-profile/view/1878731","18-1878731")</f>
        <v>0</v>
      </c>
      <c r="B1613" t="s">
        <v>18</v>
      </c>
      <c r="C1613" t="s">
        <v>34</v>
      </c>
      <c r="D1613" t="s">
        <v>1289</v>
      </c>
      <c r="E1613" t="s">
        <v>2393</v>
      </c>
      <c r="F1613" t="s">
        <v>2440</v>
      </c>
      <c r="I1613" t="s">
        <v>2446</v>
      </c>
      <c r="J1613" t="s">
        <v>2448</v>
      </c>
      <c r="K1613" t="s">
        <v>2569</v>
      </c>
      <c r="L1613" t="s">
        <v>2600</v>
      </c>
      <c r="M1613" t="s">
        <v>2631</v>
      </c>
    </row>
    <row r="1614" spans="1:14">
      <c r="A1614" s="1">
        <f>HYPERLINK("https://lsnyc.legalserver.org/matter/dynamic-profile/view/1878579","18-1878579")</f>
        <v>0</v>
      </c>
      <c r="B1614" t="s">
        <v>14</v>
      </c>
      <c r="C1614" t="s">
        <v>20</v>
      </c>
      <c r="D1614" t="s">
        <v>1290</v>
      </c>
      <c r="E1614" t="s">
        <v>2403</v>
      </c>
      <c r="F1614" t="s">
        <v>2441</v>
      </c>
      <c r="J1614" t="s">
        <v>2450</v>
      </c>
      <c r="K1614" t="s">
        <v>2569</v>
      </c>
      <c r="L1614" t="s">
        <v>2603</v>
      </c>
      <c r="M1614" t="s">
        <v>2639</v>
      </c>
    </row>
    <row r="1615" spans="1:14">
      <c r="A1615" s="1">
        <f>HYPERLINK("https://lsnyc.legalserver.org/matter/dynamic-profile/view/1878580","18-1878580")</f>
        <v>0</v>
      </c>
      <c r="B1615" t="s">
        <v>14</v>
      </c>
      <c r="C1615" t="s">
        <v>20</v>
      </c>
      <c r="D1615" t="s">
        <v>1290</v>
      </c>
      <c r="E1615" t="s">
        <v>2403</v>
      </c>
      <c r="F1615" t="s">
        <v>2441</v>
      </c>
      <c r="I1615" t="s">
        <v>2446</v>
      </c>
      <c r="J1615" t="s">
        <v>2450</v>
      </c>
      <c r="K1615" t="s">
        <v>2569</v>
      </c>
      <c r="L1615" t="s">
        <v>2603</v>
      </c>
      <c r="M1615" t="s">
        <v>2639</v>
      </c>
    </row>
    <row r="1616" spans="1:14">
      <c r="A1616" s="1">
        <f>HYPERLINK("https://lsnyc.legalserver.org/matter/dynamic-profile/view/1878576","18-1878576")</f>
        <v>0</v>
      </c>
      <c r="B1616" t="s">
        <v>14</v>
      </c>
      <c r="C1616" t="s">
        <v>26</v>
      </c>
      <c r="D1616" t="s">
        <v>1291</v>
      </c>
      <c r="E1616" t="s">
        <v>2390</v>
      </c>
      <c r="G1616" t="s">
        <v>2444</v>
      </c>
      <c r="H1616" t="s">
        <v>2445</v>
      </c>
      <c r="J1616" t="s">
        <v>2447</v>
      </c>
      <c r="K1616" t="s">
        <v>2569</v>
      </c>
      <c r="M1616" t="s">
        <v>2619</v>
      </c>
    </row>
    <row r="1617" spans="1:13">
      <c r="A1617" s="1">
        <f>HYPERLINK("https://lsnyc.legalserver.org/matter/dynamic-profile/view/1878581","18-1878581")</f>
        <v>0</v>
      </c>
      <c r="B1617" t="s">
        <v>14</v>
      </c>
      <c r="C1617" t="s">
        <v>20</v>
      </c>
      <c r="D1617" t="s">
        <v>683</v>
      </c>
      <c r="E1617" t="s">
        <v>2374</v>
      </c>
      <c r="F1617" t="s">
        <v>2438</v>
      </c>
      <c r="I1617" t="s">
        <v>2446</v>
      </c>
      <c r="J1617" t="s">
        <v>2450</v>
      </c>
      <c r="K1617" t="s">
        <v>2569</v>
      </c>
      <c r="L1617" t="s">
        <v>2600</v>
      </c>
      <c r="M1617" t="s">
        <v>2616</v>
      </c>
    </row>
    <row r="1618" spans="1:13">
      <c r="A1618" s="1">
        <f>HYPERLINK("https://lsnyc.legalserver.org/matter/dynamic-profile/view/1878582","18-1878582")</f>
        <v>0</v>
      </c>
      <c r="B1618" t="s">
        <v>14</v>
      </c>
      <c r="C1618" t="s">
        <v>20</v>
      </c>
      <c r="D1618" t="s">
        <v>682</v>
      </c>
      <c r="E1618" t="s">
        <v>2374</v>
      </c>
      <c r="F1618" t="s">
        <v>2438</v>
      </c>
      <c r="I1618" t="s">
        <v>2446</v>
      </c>
      <c r="J1618" t="s">
        <v>2450</v>
      </c>
      <c r="K1618" t="s">
        <v>2569</v>
      </c>
      <c r="L1618" t="s">
        <v>2600</v>
      </c>
      <c r="M1618" t="s">
        <v>2616</v>
      </c>
    </row>
    <row r="1619" spans="1:13">
      <c r="A1619" s="1">
        <f>HYPERLINK("https://lsnyc.legalserver.org/matter/dynamic-profile/view/1878711","18-1878711")</f>
        <v>0</v>
      </c>
      <c r="B1619" t="s">
        <v>16</v>
      </c>
      <c r="C1619" t="s">
        <v>46</v>
      </c>
      <c r="D1619" t="s">
        <v>1292</v>
      </c>
      <c r="E1619" t="s">
        <v>2390</v>
      </c>
      <c r="F1619" t="s">
        <v>2437</v>
      </c>
      <c r="I1619" t="s">
        <v>2446</v>
      </c>
      <c r="J1619" t="s">
        <v>2448</v>
      </c>
      <c r="K1619" t="s">
        <v>2572</v>
      </c>
      <c r="L1619" t="s">
        <v>2600</v>
      </c>
      <c r="M1619" t="s">
        <v>2619</v>
      </c>
    </row>
    <row r="1620" spans="1:13">
      <c r="A1620" s="1">
        <f>HYPERLINK("https://lsnyc.legalserver.org/matter/dynamic-profile/view/1878538","18-1878538")</f>
        <v>0</v>
      </c>
      <c r="B1620" t="s">
        <v>18</v>
      </c>
      <c r="C1620" t="s">
        <v>35</v>
      </c>
      <c r="D1620" t="s">
        <v>1293</v>
      </c>
      <c r="E1620" t="s">
        <v>2380</v>
      </c>
      <c r="F1620" t="s">
        <v>2439</v>
      </c>
      <c r="I1620" t="s">
        <v>2446</v>
      </c>
      <c r="J1620" t="s">
        <v>2448</v>
      </c>
      <c r="K1620" t="s">
        <v>2572</v>
      </c>
      <c r="L1620" t="s">
        <v>2602</v>
      </c>
      <c r="M1620" t="s">
        <v>2631</v>
      </c>
    </row>
    <row r="1621" spans="1:13">
      <c r="A1621" s="1">
        <f>HYPERLINK("https://lsnyc.legalserver.org/matter/dynamic-profile/view/1878483","18-1878483")</f>
        <v>0</v>
      </c>
      <c r="B1621" t="s">
        <v>16</v>
      </c>
      <c r="C1621" t="s">
        <v>23</v>
      </c>
      <c r="D1621" t="s">
        <v>1294</v>
      </c>
      <c r="E1621" t="s">
        <v>2375</v>
      </c>
      <c r="F1621" t="s">
        <v>2439</v>
      </c>
      <c r="I1621" t="s">
        <v>2446</v>
      </c>
      <c r="J1621" t="s">
        <v>2488</v>
      </c>
      <c r="K1621" t="s">
        <v>2569</v>
      </c>
      <c r="L1621" t="s">
        <v>2601</v>
      </c>
      <c r="M1621" t="s">
        <v>2631</v>
      </c>
    </row>
    <row r="1622" spans="1:13">
      <c r="A1622" s="1">
        <f>HYPERLINK("https://lsnyc.legalserver.org/matter/dynamic-profile/view/1878549","18-1878549")</f>
        <v>0</v>
      </c>
      <c r="B1622" t="s">
        <v>16</v>
      </c>
      <c r="C1622" t="s">
        <v>24</v>
      </c>
      <c r="D1622" t="s">
        <v>227</v>
      </c>
      <c r="E1622" t="s">
        <v>2390</v>
      </c>
      <c r="F1622" t="s">
        <v>2439</v>
      </c>
      <c r="I1622" t="s">
        <v>2446</v>
      </c>
      <c r="J1622" t="s">
        <v>2447</v>
      </c>
      <c r="K1622" t="s">
        <v>2569</v>
      </c>
      <c r="L1622" t="s">
        <v>2601</v>
      </c>
      <c r="M1622" t="s">
        <v>2631</v>
      </c>
    </row>
    <row r="1623" spans="1:13">
      <c r="A1623" s="1">
        <f>HYPERLINK("https://lsnyc.legalserver.org/matter/dynamic-profile/view/1878528","18-1878528")</f>
        <v>0</v>
      </c>
      <c r="B1623" t="s">
        <v>16</v>
      </c>
      <c r="C1623" t="s">
        <v>24</v>
      </c>
      <c r="D1623" t="s">
        <v>1295</v>
      </c>
      <c r="E1623" t="s">
        <v>2390</v>
      </c>
      <c r="F1623" t="s">
        <v>2439</v>
      </c>
      <c r="I1623" t="s">
        <v>2446</v>
      </c>
      <c r="J1623" t="s">
        <v>2448</v>
      </c>
      <c r="K1623" t="s">
        <v>2569</v>
      </c>
      <c r="L1623" t="s">
        <v>2601</v>
      </c>
      <c r="M1623" t="s">
        <v>2631</v>
      </c>
    </row>
    <row r="1624" spans="1:13">
      <c r="A1624" s="1">
        <f>HYPERLINK("https://lsnyc.legalserver.org/matter/dynamic-profile/view/1878539","18-1878539")</f>
        <v>0</v>
      </c>
      <c r="B1624" t="s">
        <v>15</v>
      </c>
      <c r="C1624" t="s">
        <v>31</v>
      </c>
      <c r="D1624" t="s">
        <v>1296</v>
      </c>
      <c r="E1624" t="s">
        <v>2376</v>
      </c>
      <c r="F1624" t="s">
        <v>2437</v>
      </c>
      <c r="I1624" t="s">
        <v>2446</v>
      </c>
      <c r="J1624" t="s">
        <v>2457</v>
      </c>
      <c r="K1624" t="s">
        <v>2569</v>
      </c>
      <c r="L1624" t="s">
        <v>2600</v>
      </c>
      <c r="M1624" t="s">
        <v>2618</v>
      </c>
    </row>
    <row r="1625" spans="1:13">
      <c r="A1625" s="1">
        <f>HYPERLINK("https://lsnyc.legalserver.org/matter/dynamic-profile/view/1878547","18-1878547")</f>
        <v>0</v>
      </c>
      <c r="B1625" t="s">
        <v>16</v>
      </c>
      <c r="C1625" t="s">
        <v>23</v>
      </c>
      <c r="D1625" t="s">
        <v>1297</v>
      </c>
      <c r="E1625" t="s">
        <v>2375</v>
      </c>
      <c r="F1625" t="s">
        <v>2437</v>
      </c>
      <c r="I1625" t="s">
        <v>2446</v>
      </c>
      <c r="J1625" t="s">
        <v>2530</v>
      </c>
      <c r="K1625" t="s">
        <v>2582</v>
      </c>
      <c r="M1625" t="s">
        <v>2617</v>
      </c>
    </row>
    <row r="1626" spans="1:13">
      <c r="A1626" s="1">
        <f>HYPERLINK("https://lsnyc.legalserver.org/matter/dynamic-profile/view/1878315","18-1878315")</f>
        <v>0</v>
      </c>
      <c r="B1626" t="s">
        <v>18</v>
      </c>
      <c r="C1626" t="s">
        <v>35</v>
      </c>
      <c r="D1626" t="s">
        <v>1298</v>
      </c>
      <c r="E1626" t="s">
        <v>2426</v>
      </c>
      <c r="F1626" t="s">
        <v>2440</v>
      </c>
      <c r="I1626" t="s">
        <v>2446</v>
      </c>
      <c r="J1626" t="s">
        <v>2450</v>
      </c>
      <c r="K1626" t="s">
        <v>2572</v>
      </c>
      <c r="L1626" t="s">
        <v>2602</v>
      </c>
      <c r="M1626" t="s">
        <v>2631</v>
      </c>
    </row>
    <row r="1627" spans="1:13">
      <c r="A1627" s="1">
        <f>HYPERLINK("https://lsnyc.legalserver.org/matter/dynamic-profile/view/1878386","18-1878386")</f>
        <v>0</v>
      </c>
      <c r="B1627" t="s">
        <v>19</v>
      </c>
      <c r="C1627" t="s">
        <v>62</v>
      </c>
      <c r="D1627" t="s">
        <v>1299</v>
      </c>
      <c r="E1627" t="s">
        <v>2375</v>
      </c>
      <c r="F1627" t="s">
        <v>2437</v>
      </c>
      <c r="I1627" t="s">
        <v>2446</v>
      </c>
      <c r="J1627" t="s">
        <v>2471</v>
      </c>
      <c r="K1627" t="s">
        <v>2572</v>
      </c>
      <c r="L1627" t="s">
        <v>2603</v>
      </c>
      <c r="M1627" t="s">
        <v>2617</v>
      </c>
    </row>
    <row r="1628" spans="1:13">
      <c r="A1628" s="1">
        <f>HYPERLINK("https://lsnyc.legalserver.org/matter/dynamic-profile/view/1878330","18-1878330")</f>
        <v>0</v>
      </c>
      <c r="B1628" t="s">
        <v>14</v>
      </c>
      <c r="C1628" t="s">
        <v>26</v>
      </c>
      <c r="D1628" t="s">
        <v>438</v>
      </c>
      <c r="E1628" t="s">
        <v>2385</v>
      </c>
      <c r="F1628" t="s">
        <v>2438</v>
      </c>
      <c r="I1628" t="s">
        <v>2446</v>
      </c>
      <c r="J1628" t="s">
        <v>2450</v>
      </c>
      <c r="K1628" t="s">
        <v>2569</v>
      </c>
      <c r="M1628" t="s">
        <v>2616</v>
      </c>
    </row>
    <row r="1629" spans="1:13">
      <c r="A1629" s="1">
        <f>HYPERLINK("https://lsnyc.legalserver.org/matter/dynamic-profile/view/1878215","18-1878215")</f>
        <v>0</v>
      </c>
      <c r="B1629" t="s">
        <v>18</v>
      </c>
      <c r="C1629" t="s">
        <v>34</v>
      </c>
      <c r="D1629" t="s">
        <v>1300</v>
      </c>
      <c r="E1629" t="s">
        <v>2393</v>
      </c>
      <c r="F1629" t="s">
        <v>2440</v>
      </c>
      <c r="J1629" t="s">
        <v>2447</v>
      </c>
      <c r="K1629" t="s">
        <v>2569</v>
      </c>
      <c r="L1629" t="s">
        <v>2600</v>
      </c>
      <c r="M1629" t="s">
        <v>2631</v>
      </c>
    </row>
    <row r="1630" spans="1:13">
      <c r="A1630" s="1">
        <f>HYPERLINK("https://lsnyc.legalserver.org/matter/dynamic-profile/view/1878280","18-1878280")</f>
        <v>0</v>
      </c>
      <c r="B1630" t="s">
        <v>15</v>
      </c>
      <c r="C1630" t="s">
        <v>31</v>
      </c>
      <c r="D1630" t="s">
        <v>1301</v>
      </c>
      <c r="E1630" t="s">
        <v>2386</v>
      </c>
      <c r="F1630" t="s">
        <v>2437</v>
      </c>
      <c r="J1630" t="s">
        <v>2536</v>
      </c>
      <c r="K1630" t="s">
        <v>2572</v>
      </c>
      <c r="L1630" t="s">
        <v>2605</v>
      </c>
      <c r="M1630" t="s">
        <v>2627</v>
      </c>
    </row>
    <row r="1631" spans="1:13">
      <c r="A1631" s="1">
        <f>HYPERLINK("https://lsnyc.legalserver.org/matter/dynamic-profile/view/1878093","18-1878093")</f>
        <v>0</v>
      </c>
      <c r="B1631" t="s">
        <v>16</v>
      </c>
      <c r="C1631" t="s">
        <v>23</v>
      </c>
      <c r="D1631" t="s">
        <v>1302</v>
      </c>
      <c r="E1631" t="s">
        <v>2390</v>
      </c>
      <c r="F1631" t="s">
        <v>2437</v>
      </c>
      <c r="I1631" t="s">
        <v>2446</v>
      </c>
      <c r="J1631" t="s">
        <v>2450</v>
      </c>
      <c r="K1631" t="s">
        <v>2569</v>
      </c>
      <c r="M1631" t="s">
        <v>2626</v>
      </c>
    </row>
    <row r="1632" spans="1:13">
      <c r="A1632" s="1">
        <f>HYPERLINK("https://lsnyc.legalserver.org/matter/dynamic-profile/view/1878110","18-1878110")</f>
        <v>0</v>
      </c>
      <c r="B1632" t="s">
        <v>16</v>
      </c>
      <c r="C1632" t="s">
        <v>23</v>
      </c>
      <c r="D1632" t="s">
        <v>1012</v>
      </c>
      <c r="E1632" t="s">
        <v>2390</v>
      </c>
      <c r="F1632" t="s">
        <v>2437</v>
      </c>
      <c r="I1632" t="s">
        <v>2446</v>
      </c>
      <c r="J1632" t="s">
        <v>2452</v>
      </c>
      <c r="K1632" t="s">
        <v>2572</v>
      </c>
      <c r="M1632" t="s">
        <v>2619</v>
      </c>
    </row>
    <row r="1633" spans="1:14">
      <c r="A1633" s="1">
        <f>HYPERLINK("https://lsnyc.legalserver.org/matter/dynamic-profile/view/1878179","18-1878179")</f>
        <v>0</v>
      </c>
      <c r="B1633" t="s">
        <v>15</v>
      </c>
      <c r="C1633" t="s">
        <v>37</v>
      </c>
      <c r="D1633" t="s">
        <v>1303</v>
      </c>
      <c r="E1633" t="s">
        <v>2394</v>
      </c>
      <c r="K1633" t="s">
        <v>2572</v>
      </c>
      <c r="L1633" t="s">
        <v>2600</v>
      </c>
      <c r="M1633" t="s">
        <v>2627</v>
      </c>
      <c r="N1633" t="s">
        <v>2648</v>
      </c>
    </row>
    <row r="1634" spans="1:14">
      <c r="A1634" s="1">
        <f>HYPERLINK("https://lsnyc.legalserver.org/matter/dynamic-profile/view/1878190","18-1878190")</f>
        <v>0</v>
      </c>
      <c r="B1634" t="s">
        <v>19</v>
      </c>
      <c r="C1634" t="s">
        <v>47</v>
      </c>
      <c r="D1634" t="s">
        <v>1304</v>
      </c>
      <c r="E1634" t="s">
        <v>2375</v>
      </c>
      <c r="F1634" t="s">
        <v>2437</v>
      </c>
      <c r="I1634" t="s">
        <v>2446</v>
      </c>
      <c r="J1634" t="s">
        <v>2452</v>
      </c>
      <c r="K1634" t="s">
        <v>2572</v>
      </c>
      <c r="L1634" t="s">
        <v>2600</v>
      </c>
      <c r="M1634" t="s">
        <v>2617</v>
      </c>
    </row>
    <row r="1635" spans="1:14">
      <c r="A1635" s="1">
        <f>HYPERLINK("https://lsnyc.legalserver.org/matter/dynamic-profile/view/1878192","18-1878192")</f>
        <v>0</v>
      </c>
      <c r="B1635" t="s">
        <v>19</v>
      </c>
      <c r="C1635" t="s">
        <v>47</v>
      </c>
      <c r="D1635" t="s">
        <v>1305</v>
      </c>
      <c r="E1635" t="s">
        <v>2375</v>
      </c>
      <c r="F1635" t="s">
        <v>2437</v>
      </c>
      <c r="J1635" t="s">
        <v>2460</v>
      </c>
      <c r="K1635" t="s">
        <v>2581</v>
      </c>
      <c r="L1635" t="s">
        <v>2602</v>
      </c>
      <c r="M1635" t="s">
        <v>2617</v>
      </c>
      <c r="N1635" t="s">
        <v>2648</v>
      </c>
    </row>
    <row r="1636" spans="1:14">
      <c r="A1636" s="1">
        <f>HYPERLINK("https://lsnyc.legalserver.org/matter/dynamic-profile/view/1877957","18-1877957")</f>
        <v>0</v>
      </c>
      <c r="B1636" t="s">
        <v>14</v>
      </c>
      <c r="C1636" t="s">
        <v>69</v>
      </c>
      <c r="D1636" t="s">
        <v>1306</v>
      </c>
      <c r="G1636" t="s">
        <v>2444</v>
      </c>
      <c r="I1636" t="s">
        <v>2446</v>
      </c>
      <c r="J1636" t="s">
        <v>2452</v>
      </c>
      <c r="K1636" t="s">
        <v>2572</v>
      </c>
      <c r="L1636" t="s">
        <v>2601</v>
      </c>
      <c r="M1636" t="s">
        <v>2631</v>
      </c>
    </row>
    <row r="1637" spans="1:14">
      <c r="A1637" s="1">
        <f>HYPERLINK("https://lsnyc.legalserver.org/matter/dynamic-profile/view/1878020","18-1878020")</f>
        <v>0</v>
      </c>
      <c r="B1637" t="s">
        <v>14</v>
      </c>
      <c r="C1637" t="s">
        <v>26</v>
      </c>
      <c r="D1637" t="s">
        <v>1307</v>
      </c>
      <c r="F1637" t="s">
        <v>2439</v>
      </c>
      <c r="I1637" t="s">
        <v>2446</v>
      </c>
      <c r="J1637" t="s">
        <v>2450</v>
      </c>
      <c r="K1637" t="s">
        <v>2569</v>
      </c>
      <c r="L1637" t="s">
        <v>2601</v>
      </c>
      <c r="M1637" t="s">
        <v>2631</v>
      </c>
    </row>
    <row r="1638" spans="1:14">
      <c r="A1638" s="1">
        <f>HYPERLINK("https://lsnyc.legalserver.org/matter/dynamic-profile/view/1878977","18-1878977")</f>
        <v>0</v>
      </c>
      <c r="B1638" t="s">
        <v>18</v>
      </c>
      <c r="C1638" t="s">
        <v>35</v>
      </c>
      <c r="D1638" t="s">
        <v>1308</v>
      </c>
      <c r="E1638" t="s">
        <v>2393</v>
      </c>
      <c r="F1638" t="s">
        <v>2437</v>
      </c>
      <c r="I1638" t="s">
        <v>2446</v>
      </c>
      <c r="J1638" t="s">
        <v>2524</v>
      </c>
      <c r="K1638" t="s">
        <v>2569</v>
      </c>
      <c r="L1638" t="s">
        <v>2603</v>
      </c>
      <c r="M1638" t="s">
        <v>2637</v>
      </c>
    </row>
    <row r="1639" spans="1:14">
      <c r="A1639" s="1">
        <f>HYPERLINK("https://lsnyc.legalserver.org/matter/dynamic-profile/view/1877933","18-1877933")</f>
        <v>0</v>
      </c>
      <c r="B1639" t="s">
        <v>16</v>
      </c>
      <c r="C1639" t="s">
        <v>23</v>
      </c>
      <c r="D1639" t="s">
        <v>1309</v>
      </c>
      <c r="E1639" t="s">
        <v>2381</v>
      </c>
      <c r="F1639" t="s">
        <v>2437</v>
      </c>
      <c r="G1639" t="s">
        <v>2444</v>
      </c>
      <c r="I1639" t="s">
        <v>2446</v>
      </c>
      <c r="J1639" t="s">
        <v>2457</v>
      </c>
      <c r="M1639" t="s">
        <v>2622</v>
      </c>
    </row>
    <row r="1640" spans="1:14">
      <c r="A1640" s="1">
        <f>HYPERLINK("https://lsnyc.legalserver.org/matter/dynamic-profile/view/1877942","18-1877942")</f>
        <v>0</v>
      </c>
      <c r="B1640" t="s">
        <v>14</v>
      </c>
      <c r="C1640" t="s">
        <v>33</v>
      </c>
      <c r="D1640" t="s">
        <v>1310</v>
      </c>
      <c r="E1640" t="s">
        <v>2385</v>
      </c>
      <c r="F1640" t="s">
        <v>2438</v>
      </c>
      <c r="G1640" t="s">
        <v>2444</v>
      </c>
      <c r="I1640" t="s">
        <v>2446</v>
      </c>
      <c r="J1640" t="s">
        <v>2541</v>
      </c>
      <c r="K1640" t="s">
        <v>2585</v>
      </c>
      <c r="M1640" t="s">
        <v>2616</v>
      </c>
    </row>
    <row r="1641" spans="1:14">
      <c r="A1641" s="1">
        <f>HYPERLINK("https://lsnyc.legalserver.org/matter/dynamic-profile/view/1878041","18-1878041")</f>
        <v>0</v>
      </c>
      <c r="B1641" t="s">
        <v>16</v>
      </c>
      <c r="C1641" t="s">
        <v>23</v>
      </c>
      <c r="D1641" t="s">
        <v>1311</v>
      </c>
      <c r="E1641" t="s">
        <v>2375</v>
      </c>
      <c r="F1641" t="s">
        <v>2437</v>
      </c>
      <c r="I1641" t="s">
        <v>2446</v>
      </c>
      <c r="J1641" t="s">
        <v>2452</v>
      </c>
      <c r="K1641" t="s">
        <v>2572</v>
      </c>
      <c r="M1641" t="s">
        <v>2617</v>
      </c>
    </row>
    <row r="1642" spans="1:14">
      <c r="A1642" s="1">
        <f>HYPERLINK("https://lsnyc.legalserver.org/matter/dynamic-profile/view/1875639","18-1875639")</f>
        <v>0</v>
      </c>
      <c r="B1642" t="s">
        <v>17</v>
      </c>
      <c r="C1642" t="s">
        <v>71</v>
      </c>
      <c r="D1642" t="s">
        <v>1312</v>
      </c>
      <c r="E1642" t="s">
        <v>2387</v>
      </c>
      <c r="F1642" t="s">
        <v>2439</v>
      </c>
      <c r="I1642" t="s">
        <v>2446</v>
      </c>
      <c r="J1642" t="s">
        <v>2457</v>
      </c>
      <c r="K1642" t="s">
        <v>2569</v>
      </c>
      <c r="L1642" t="s">
        <v>2601</v>
      </c>
      <c r="M1642" t="s">
        <v>2641</v>
      </c>
    </row>
    <row r="1643" spans="1:14">
      <c r="A1643" s="1">
        <f>HYPERLINK("https://lsnyc.legalserver.org/matter/dynamic-profile/view/1877863","18-1877863")</f>
        <v>0</v>
      </c>
      <c r="B1643" t="s">
        <v>18</v>
      </c>
      <c r="C1643" t="s">
        <v>34</v>
      </c>
      <c r="D1643" t="s">
        <v>1031</v>
      </c>
      <c r="E1643" t="s">
        <v>2374</v>
      </c>
      <c r="F1643" t="s">
        <v>2438</v>
      </c>
      <c r="I1643" t="s">
        <v>2446</v>
      </c>
      <c r="J1643" t="s">
        <v>2529</v>
      </c>
      <c r="K1643" t="s">
        <v>2572</v>
      </c>
      <c r="M1643" t="s">
        <v>2616</v>
      </c>
    </row>
    <row r="1644" spans="1:14">
      <c r="A1644" s="1">
        <f>HYPERLINK("https://lsnyc.legalserver.org/matter/dynamic-profile/view/1877875","18-1877875")</f>
        <v>0</v>
      </c>
      <c r="B1644" t="s">
        <v>16</v>
      </c>
      <c r="C1644" t="s">
        <v>46</v>
      </c>
      <c r="D1644" t="s">
        <v>1313</v>
      </c>
      <c r="E1644" t="s">
        <v>2390</v>
      </c>
      <c r="F1644" t="s">
        <v>2437</v>
      </c>
      <c r="I1644" t="s">
        <v>2446</v>
      </c>
      <c r="J1644" t="s">
        <v>2506</v>
      </c>
      <c r="K1644" t="s">
        <v>2569</v>
      </c>
      <c r="L1644" t="s">
        <v>2600</v>
      </c>
      <c r="M1644" t="s">
        <v>2619</v>
      </c>
    </row>
    <row r="1645" spans="1:14">
      <c r="A1645" s="1">
        <f>HYPERLINK("https://lsnyc.legalserver.org/matter/dynamic-profile/view/1877886","18-1877886")</f>
        <v>0</v>
      </c>
      <c r="B1645" t="s">
        <v>16</v>
      </c>
      <c r="C1645" t="s">
        <v>46</v>
      </c>
      <c r="D1645" t="s">
        <v>1314</v>
      </c>
      <c r="E1645" t="s">
        <v>2375</v>
      </c>
      <c r="F1645" t="s">
        <v>2437</v>
      </c>
      <c r="J1645" t="s">
        <v>2504</v>
      </c>
      <c r="K1645" t="s">
        <v>2572</v>
      </c>
      <c r="L1645" t="s">
        <v>2600</v>
      </c>
      <c r="M1645" t="s">
        <v>2617</v>
      </c>
    </row>
    <row r="1646" spans="1:14">
      <c r="A1646" s="1">
        <f>HYPERLINK("https://lsnyc.legalserver.org/matter/dynamic-profile/view/1877893","18-1877893")</f>
        <v>0</v>
      </c>
      <c r="B1646" t="s">
        <v>18</v>
      </c>
      <c r="C1646" t="s">
        <v>45</v>
      </c>
      <c r="D1646" t="s">
        <v>1315</v>
      </c>
      <c r="E1646" t="s">
        <v>2383</v>
      </c>
      <c r="F1646" t="s">
        <v>2437</v>
      </c>
      <c r="I1646" t="s">
        <v>2446</v>
      </c>
      <c r="J1646" t="s">
        <v>2457</v>
      </c>
      <c r="K1646" t="s">
        <v>2569</v>
      </c>
      <c r="M1646" t="s">
        <v>2624</v>
      </c>
    </row>
    <row r="1647" spans="1:14">
      <c r="A1647" s="1">
        <f>HYPERLINK("https://lsnyc.legalserver.org/matter/dynamic-profile/view/1877898","18-1877898")</f>
        <v>0</v>
      </c>
      <c r="B1647" t="s">
        <v>18</v>
      </c>
      <c r="C1647" t="s">
        <v>45</v>
      </c>
      <c r="D1647" t="s">
        <v>1315</v>
      </c>
      <c r="E1647" t="s">
        <v>2376</v>
      </c>
      <c r="F1647" t="s">
        <v>2437</v>
      </c>
      <c r="I1647" t="s">
        <v>2446</v>
      </c>
      <c r="J1647" t="s">
        <v>2457</v>
      </c>
      <c r="K1647" t="s">
        <v>2569</v>
      </c>
      <c r="M1647" t="s">
        <v>2618</v>
      </c>
    </row>
    <row r="1648" spans="1:14">
      <c r="A1648" s="1">
        <f>HYPERLINK("https://lsnyc.legalserver.org/matter/dynamic-profile/view/1877903","18-1877903")</f>
        <v>0</v>
      </c>
      <c r="B1648" t="s">
        <v>18</v>
      </c>
      <c r="C1648" t="s">
        <v>45</v>
      </c>
      <c r="D1648" t="s">
        <v>1315</v>
      </c>
      <c r="E1648" t="s">
        <v>2393</v>
      </c>
      <c r="F1648" t="s">
        <v>2437</v>
      </c>
      <c r="I1648" t="s">
        <v>2446</v>
      </c>
      <c r="J1648" t="s">
        <v>2457</v>
      </c>
      <c r="K1648" t="s">
        <v>2569</v>
      </c>
      <c r="M1648" t="s">
        <v>2637</v>
      </c>
    </row>
    <row r="1649" spans="1:14">
      <c r="A1649" s="1">
        <f>HYPERLINK("https://lsnyc.legalserver.org/matter/dynamic-profile/view/1877925","18-1877925")</f>
        <v>0</v>
      </c>
      <c r="B1649" t="s">
        <v>15</v>
      </c>
      <c r="C1649" t="s">
        <v>49</v>
      </c>
      <c r="D1649" t="s">
        <v>1316</v>
      </c>
      <c r="E1649" t="s">
        <v>2426</v>
      </c>
      <c r="F1649" t="s">
        <v>2437</v>
      </c>
      <c r="I1649" t="s">
        <v>2446</v>
      </c>
      <c r="J1649" t="s">
        <v>2447</v>
      </c>
      <c r="K1649" t="s">
        <v>2569</v>
      </c>
      <c r="M1649" t="s">
        <v>2627</v>
      </c>
    </row>
    <row r="1650" spans="1:14">
      <c r="A1650" s="1">
        <f>HYPERLINK("https://lsnyc.legalserver.org/matter/dynamic-profile/view/1877761","18-1877761")</f>
        <v>0</v>
      </c>
      <c r="B1650" t="s">
        <v>16</v>
      </c>
      <c r="C1650" t="s">
        <v>24</v>
      </c>
      <c r="D1650" t="s">
        <v>1317</v>
      </c>
      <c r="E1650" t="s">
        <v>2390</v>
      </c>
      <c r="F1650" t="s">
        <v>2439</v>
      </c>
      <c r="I1650" t="s">
        <v>2446</v>
      </c>
      <c r="J1650" t="s">
        <v>2455</v>
      </c>
      <c r="K1650" t="s">
        <v>2569</v>
      </c>
      <c r="L1650" t="s">
        <v>2601</v>
      </c>
      <c r="M1650" t="s">
        <v>2631</v>
      </c>
    </row>
    <row r="1651" spans="1:14">
      <c r="A1651" s="1">
        <f>HYPERLINK("https://lsnyc.legalserver.org/matter/dynamic-profile/view/1877811","18-1877811")</f>
        <v>0</v>
      </c>
      <c r="B1651" t="s">
        <v>18</v>
      </c>
      <c r="C1651" t="s">
        <v>27</v>
      </c>
      <c r="D1651" t="s">
        <v>1318</v>
      </c>
      <c r="E1651" t="s">
        <v>2394</v>
      </c>
      <c r="F1651" t="s">
        <v>2439</v>
      </c>
      <c r="H1651" t="s">
        <v>2445</v>
      </c>
      <c r="J1651" t="s">
        <v>2471</v>
      </c>
      <c r="K1651" t="s">
        <v>2572</v>
      </c>
      <c r="L1651" t="s">
        <v>2602</v>
      </c>
      <c r="M1651" t="s">
        <v>2631</v>
      </c>
    </row>
    <row r="1652" spans="1:14">
      <c r="A1652" s="1">
        <f>HYPERLINK("https://lsnyc.legalserver.org/matter/dynamic-profile/view/1877765","18-1877765")</f>
        <v>0</v>
      </c>
      <c r="B1652" t="s">
        <v>15</v>
      </c>
      <c r="C1652" t="s">
        <v>37</v>
      </c>
      <c r="D1652" t="s">
        <v>1319</v>
      </c>
      <c r="E1652" t="s">
        <v>2374</v>
      </c>
      <c r="F1652" t="s">
        <v>2439</v>
      </c>
      <c r="I1652" t="s">
        <v>2446</v>
      </c>
      <c r="J1652" t="s">
        <v>2486</v>
      </c>
      <c r="K1652" t="s">
        <v>2577</v>
      </c>
      <c r="L1652" t="s">
        <v>2602</v>
      </c>
      <c r="M1652" t="s">
        <v>2631</v>
      </c>
    </row>
    <row r="1653" spans="1:14">
      <c r="A1653" s="1">
        <f>HYPERLINK("https://lsnyc.legalserver.org/matter/dynamic-profile/view/1877764","18-1877764")</f>
        <v>0</v>
      </c>
      <c r="B1653" t="s">
        <v>16</v>
      </c>
      <c r="C1653" t="s">
        <v>23</v>
      </c>
      <c r="D1653" t="s">
        <v>1320</v>
      </c>
      <c r="E1653" t="s">
        <v>2390</v>
      </c>
      <c r="F1653" t="s">
        <v>2437</v>
      </c>
      <c r="I1653" t="s">
        <v>2446</v>
      </c>
      <c r="J1653" t="s">
        <v>2448</v>
      </c>
      <c r="K1653" t="s">
        <v>2569</v>
      </c>
      <c r="M1653" t="s">
        <v>2619</v>
      </c>
    </row>
    <row r="1654" spans="1:14">
      <c r="A1654" s="1">
        <f>HYPERLINK("https://lsnyc.legalserver.org/matter/dynamic-profile/view/1877782","18-1877782")</f>
        <v>0</v>
      </c>
      <c r="B1654" t="s">
        <v>16</v>
      </c>
      <c r="C1654" t="s">
        <v>23</v>
      </c>
      <c r="D1654" t="s">
        <v>609</v>
      </c>
      <c r="E1654" t="s">
        <v>2390</v>
      </c>
      <c r="F1654" t="s">
        <v>2437</v>
      </c>
      <c r="I1654" t="s">
        <v>2446</v>
      </c>
      <c r="J1654" t="s">
        <v>2448</v>
      </c>
      <c r="K1654" t="s">
        <v>2569</v>
      </c>
      <c r="M1654" t="s">
        <v>2626</v>
      </c>
    </row>
    <row r="1655" spans="1:14">
      <c r="A1655" s="1">
        <f>HYPERLINK("https://lsnyc.legalserver.org/matter/dynamic-profile/view/1877786","18-1877786")</f>
        <v>0</v>
      </c>
      <c r="B1655" t="s">
        <v>19</v>
      </c>
      <c r="C1655" t="s">
        <v>54</v>
      </c>
      <c r="D1655" t="s">
        <v>1321</v>
      </c>
      <c r="E1655" t="s">
        <v>2394</v>
      </c>
      <c r="F1655" t="s">
        <v>2439</v>
      </c>
      <c r="I1655" t="s">
        <v>2446</v>
      </c>
      <c r="J1655" t="s">
        <v>2460</v>
      </c>
      <c r="K1655" t="s">
        <v>2581</v>
      </c>
      <c r="L1655" t="s">
        <v>2602</v>
      </c>
      <c r="M1655" t="s">
        <v>2631</v>
      </c>
    </row>
    <row r="1656" spans="1:14">
      <c r="A1656" s="1">
        <f>HYPERLINK("https://lsnyc.legalserver.org/matter/dynamic-profile/view/1877797","18-1877797")</f>
        <v>0</v>
      </c>
      <c r="B1656" t="s">
        <v>19</v>
      </c>
      <c r="C1656" t="s">
        <v>47</v>
      </c>
      <c r="D1656" t="s">
        <v>1322</v>
      </c>
      <c r="E1656" t="s">
        <v>2374</v>
      </c>
      <c r="F1656" t="s">
        <v>2438</v>
      </c>
      <c r="J1656" t="s">
        <v>2490</v>
      </c>
      <c r="K1656" t="s">
        <v>2572</v>
      </c>
      <c r="L1656" t="s">
        <v>2600</v>
      </c>
      <c r="M1656" t="s">
        <v>2626</v>
      </c>
      <c r="N1656" t="s">
        <v>2648</v>
      </c>
    </row>
    <row r="1657" spans="1:14">
      <c r="A1657" s="1">
        <f>HYPERLINK("https://lsnyc.legalserver.org/matter/dynamic-profile/view/1877812","18-1877812")</f>
        <v>0</v>
      </c>
      <c r="B1657" t="s">
        <v>16</v>
      </c>
      <c r="C1657" t="s">
        <v>23</v>
      </c>
      <c r="D1657" t="s">
        <v>676</v>
      </c>
      <c r="E1657" t="s">
        <v>2375</v>
      </c>
      <c r="F1657" t="s">
        <v>2437</v>
      </c>
      <c r="I1657" t="s">
        <v>2446</v>
      </c>
      <c r="J1657" t="s">
        <v>2471</v>
      </c>
      <c r="K1657" t="s">
        <v>2571</v>
      </c>
      <c r="M1657" t="s">
        <v>2617</v>
      </c>
    </row>
    <row r="1658" spans="1:14">
      <c r="A1658" s="1">
        <f>HYPERLINK("https://lsnyc.legalserver.org/matter/dynamic-profile/view/1877825","18-1877825")</f>
        <v>0</v>
      </c>
      <c r="B1658" t="s">
        <v>16</v>
      </c>
      <c r="C1658" t="s">
        <v>23</v>
      </c>
      <c r="D1658" t="s">
        <v>1323</v>
      </c>
      <c r="E1658" t="s">
        <v>2375</v>
      </c>
      <c r="F1658" t="s">
        <v>2437</v>
      </c>
      <c r="I1658" t="s">
        <v>2446</v>
      </c>
      <c r="J1658" t="s">
        <v>2460</v>
      </c>
      <c r="K1658" t="s">
        <v>2581</v>
      </c>
      <c r="M1658" t="s">
        <v>2617</v>
      </c>
    </row>
    <row r="1659" spans="1:14">
      <c r="A1659" s="1">
        <f>HYPERLINK("https://lsnyc.legalserver.org/matter/dynamic-profile/view/1877701","18-1877701")</f>
        <v>0</v>
      </c>
      <c r="B1659" t="s">
        <v>18</v>
      </c>
      <c r="C1659" t="s">
        <v>27</v>
      </c>
      <c r="D1659" t="s">
        <v>1324</v>
      </c>
      <c r="E1659" t="s">
        <v>2381</v>
      </c>
      <c r="F1659" t="s">
        <v>2439</v>
      </c>
      <c r="I1659" t="s">
        <v>2446</v>
      </c>
      <c r="J1659" t="s">
        <v>2452</v>
      </c>
      <c r="K1659" t="s">
        <v>2572</v>
      </c>
      <c r="L1659" t="s">
        <v>2602</v>
      </c>
      <c r="M1659" t="s">
        <v>2631</v>
      </c>
    </row>
    <row r="1660" spans="1:14">
      <c r="A1660" s="1">
        <f>HYPERLINK("https://lsnyc.legalserver.org/matter/dynamic-profile/view/1877286","18-1877286")</f>
        <v>0</v>
      </c>
      <c r="B1660" t="s">
        <v>19</v>
      </c>
      <c r="C1660" t="s">
        <v>54</v>
      </c>
      <c r="D1660" t="s">
        <v>1325</v>
      </c>
      <c r="E1660" t="s">
        <v>2391</v>
      </c>
      <c r="F1660" t="s">
        <v>2438</v>
      </c>
      <c r="I1660" t="s">
        <v>2446</v>
      </c>
      <c r="J1660" t="s">
        <v>2465</v>
      </c>
      <c r="K1660" t="s">
        <v>2569</v>
      </c>
      <c r="L1660" t="s">
        <v>2600</v>
      </c>
      <c r="M1660" t="s">
        <v>2615</v>
      </c>
    </row>
    <row r="1661" spans="1:14">
      <c r="A1661" s="1">
        <f>HYPERLINK("https://lsnyc.legalserver.org/matter/dynamic-profile/view/1877652","18-1877652")</f>
        <v>0</v>
      </c>
      <c r="B1661" t="s">
        <v>16</v>
      </c>
      <c r="C1661" t="s">
        <v>23</v>
      </c>
      <c r="D1661" t="s">
        <v>1326</v>
      </c>
      <c r="E1661" t="s">
        <v>2390</v>
      </c>
      <c r="F1661" t="s">
        <v>2437</v>
      </c>
      <c r="I1661" t="s">
        <v>2446</v>
      </c>
      <c r="J1661" t="s">
        <v>2522</v>
      </c>
      <c r="K1661" t="s">
        <v>2572</v>
      </c>
      <c r="M1661" t="s">
        <v>2626</v>
      </c>
    </row>
    <row r="1662" spans="1:14">
      <c r="A1662" s="1">
        <f>HYPERLINK("https://lsnyc.legalserver.org/matter/dynamic-profile/view/1877710","18-1877710")</f>
        <v>0</v>
      </c>
      <c r="B1662" t="s">
        <v>16</v>
      </c>
      <c r="C1662" t="s">
        <v>23</v>
      </c>
      <c r="D1662" t="s">
        <v>1327</v>
      </c>
      <c r="E1662" t="s">
        <v>2387</v>
      </c>
      <c r="F1662" t="s">
        <v>2437</v>
      </c>
      <c r="I1662" t="s">
        <v>2446</v>
      </c>
      <c r="J1662" t="s">
        <v>2457</v>
      </c>
      <c r="K1662" t="s">
        <v>2569</v>
      </c>
      <c r="M1662" t="s">
        <v>2629</v>
      </c>
    </row>
    <row r="1663" spans="1:14">
      <c r="A1663" s="1">
        <f>HYPERLINK("https://lsnyc.legalserver.org/matter/dynamic-profile/view/1877477","18-1877477")</f>
        <v>0</v>
      </c>
      <c r="B1663" t="s">
        <v>18</v>
      </c>
      <c r="C1663" t="s">
        <v>27</v>
      </c>
      <c r="D1663" t="s">
        <v>1328</v>
      </c>
      <c r="E1663" t="s">
        <v>2394</v>
      </c>
      <c r="F1663" t="s">
        <v>2439</v>
      </c>
      <c r="I1663" t="s">
        <v>2446</v>
      </c>
      <c r="J1663" t="s">
        <v>2448</v>
      </c>
      <c r="K1663" t="s">
        <v>2569</v>
      </c>
      <c r="L1663" t="s">
        <v>2602</v>
      </c>
      <c r="M1663" t="s">
        <v>2631</v>
      </c>
    </row>
    <row r="1664" spans="1:14">
      <c r="A1664" s="1">
        <f>HYPERLINK("https://lsnyc.legalserver.org/matter/dynamic-profile/view/1877548","18-1877548")</f>
        <v>0</v>
      </c>
      <c r="B1664" t="s">
        <v>15</v>
      </c>
      <c r="C1664" t="s">
        <v>37</v>
      </c>
      <c r="D1664" t="s">
        <v>1329</v>
      </c>
      <c r="E1664" t="s">
        <v>2376</v>
      </c>
      <c r="F1664" t="s">
        <v>2437</v>
      </c>
      <c r="I1664" t="s">
        <v>2446</v>
      </c>
      <c r="J1664" t="s">
        <v>2488</v>
      </c>
      <c r="K1664" t="s">
        <v>2569</v>
      </c>
      <c r="L1664" t="s">
        <v>2600</v>
      </c>
      <c r="M1664" t="s">
        <v>2618</v>
      </c>
    </row>
    <row r="1665" spans="1:14">
      <c r="A1665" s="1">
        <f>HYPERLINK("https://lsnyc.legalserver.org/matter/dynamic-profile/view/1877609","18-1877609")</f>
        <v>0</v>
      </c>
      <c r="B1665" t="s">
        <v>19</v>
      </c>
      <c r="C1665" t="s">
        <v>66</v>
      </c>
      <c r="D1665" t="s">
        <v>1330</v>
      </c>
      <c r="E1665" t="s">
        <v>2381</v>
      </c>
      <c r="F1665" t="s">
        <v>2437</v>
      </c>
      <c r="J1665" t="s">
        <v>2453</v>
      </c>
      <c r="K1665" t="s">
        <v>2572</v>
      </c>
      <c r="L1665" t="s">
        <v>2602</v>
      </c>
      <c r="M1665" t="s">
        <v>2626</v>
      </c>
    </row>
    <row r="1666" spans="1:14">
      <c r="A1666" s="1">
        <f>HYPERLINK("https://lsnyc.legalserver.org/matter/dynamic-profile/view/1877532","18-1877532")</f>
        <v>0</v>
      </c>
      <c r="B1666" t="s">
        <v>19</v>
      </c>
      <c r="C1666" t="s">
        <v>38</v>
      </c>
      <c r="D1666" t="s">
        <v>1331</v>
      </c>
      <c r="E1666" t="s">
        <v>2383</v>
      </c>
      <c r="F1666" t="s">
        <v>2437</v>
      </c>
      <c r="G1666" t="s">
        <v>2444</v>
      </c>
      <c r="I1666" t="s">
        <v>2446</v>
      </c>
      <c r="J1666" t="s">
        <v>2456</v>
      </c>
      <c r="K1666" t="s">
        <v>2572</v>
      </c>
      <c r="M1666" t="s">
        <v>2624</v>
      </c>
      <c r="N1666" t="s">
        <v>2648</v>
      </c>
    </row>
    <row r="1667" spans="1:14">
      <c r="A1667" s="1">
        <f>HYPERLINK("https://lsnyc.legalserver.org/matter/dynamic-profile/view/1877330","18-1877330")</f>
        <v>0</v>
      </c>
      <c r="B1667" t="s">
        <v>18</v>
      </c>
      <c r="C1667" t="s">
        <v>35</v>
      </c>
      <c r="D1667" t="s">
        <v>1332</v>
      </c>
      <c r="E1667" t="s">
        <v>2408</v>
      </c>
      <c r="F1667" t="s">
        <v>2439</v>
      </c>
      <c r="I1667" t="s">
        <v>2446</v>
      </c>
      <c r="J1667" t="s">
        <v>2542</v>
      </c>
      <c r="K1667" t="s">
        <v>2572</v>
      </c>
      <c r="L1667" t="s">
        <v>2602</v>
      </c>
      <c r="M1667" t="s">
        <v>2631</v>
      </c>
    </row>
    <row r="1668" spans="1:14">
      <c r="A1668" s="1">
        <f>HYPERLINK("https://lsnyc.legalserver.org/matter/dynamic-profile/view/1877295","18-1877295")</f>
        <v>0</v>
      </c>
      <c r="B1668" t="s">
        <v>17</v>
      </c>
      <c r="C1668" t="s">
        <v>56</v>
      </c>
      <c r="D1668" t="s">
        <v>1333</v>
      </c>
      <c r="E1668" t="s">
        <v>2406</v>
      </c>
      <c r="F1668" t="s">
        <v>2437</v>
      </c>
      <c r="I1668" t="s">
        <v>2446</v>
      </c>
      <c r="J1668" t="s">
        <v>2457</v>
      </c>
      <c r="K1668" t="s">
        <v>2569</v>
      </c>
      <c r="L1668" t="s">
        <v>2600</v>
      </c>
      <c r="M1668" t="s">
        <v>2642</v>
      </c>
    </row>
    <row r="1669" spans="1:14">
      <c r="A1669" s="1">
        <f>HYPERLINK("https://lsnyc.legalserver.org/matter/dynamic-profile/view/1877339","18-1877339")</f>
        <v>0</v>
      </c>
      <c r="B1669" t="s">
        <v>17</v>
      </c>
      <c r="C1669" t="s">
        <v>56</v>
      </c>
      <c r="D1669" t="s">
        <v>1334</v>
      </c>
      <c r="E1669" t="s">
        <v>2413</v>
      </c>
      <c r="F1669" t="s">
        <v>2437</v>
      </c>
      <c r="I1669" t="s">
        <v>2446</v>
      </c>
      <c r="J1669" t="s">
        <v>2457</v>
      </c>
      <c r="K1669" t="s">
        <v>2569</v>
      </c>
      <c r="L1669" t="s">
        <v>2600</v>
      </c>
      <c r="M1669" t="s">
        <v>2629</v>
      </c>
    </row>
    <row r="1670" spans="1:14">
      <c r="A1670" s="1">
        <f>HYPERLINK("https://lsnyc.legalserver.org/matter/dynamic-profile/view/1877340","18-1877340")</f>
        <v>0</v>
      </c>
      <c r="B1670" t="s">
        <v>17</v>
      </c>
      <c r="C1670" t="s">
        <v>56</v>
      </c>
      <c r="D1670" t="s">
        <v>1334</v>
      </c>
      <c r="E1670" t="s">
        <v>2406</v>
      </c>
      <c r="F1670" t="s">
        <v>2437</v>
      </c>
      <c r="I1670" t="s">
        <v>2446</v>
      </c>
      <c r="J1670" t="s">
        <v>2457</v>
      </c>
      <c r="K1670" t="s">
        <v>2569</v>
      </c>
      <c r="L1670" t="s">
        <v>2600</v>
      </c>
      <c r="M1670" t="s">
        <v>2642</v>
      </c>
    </row>
    <row r="1671" spans="1:14">
      <c r="A1671" s="1">
        <f>HYPERLINK("https://lsnyc.legalserver.org/matter/dynamic-profile/view/1877171","18-1877171")</f>
        <v>0</v>
      </c>
      <c r="B1671" t="s">
        <v>18</v>
      </c>
      <c r="C1671" t="s">
        <v>35</v>
      </c>
      <c r="D1671" t="s">
        <v>1293</v>
      </c>
      <c r="E1671" t="s">
        <v>2426</v>
      </c>
      <c r="F1671" t="s">
        <v>2437</v>
      </c>
      <c r="I1671" t="s">
        <v>2446</v>
      </c>
      <c r="J1671" t="s">
        <v>2448</v>
      </c>
      <c r="K1671" t="s">
        <v>2572</v>
      </c>
      <c r="L1671" t="s">
        <v>2603</v>
      </c>
      <c r="M1671" t="s">
        <v>2627</v>
      </c>
    </row>
    <row r="1672" spans="1:14">
      <c r="A1672" s="1">
        <f>HYPERLINK("https://lsnyc.legalserver.org/matter/dynamic-profile/view/1877218","18-1877218")</f>
        <v>0</v>
      </c>
      <c r="B1672" t="s">
        <v>18</v>
      </c>
      <c r="C1672" t="s">
        <v>35</v>
      </c>
      <c r="D1672" t="s">
        <v>1335</v>
      </c>
      <c r="E1672" t="s">
        <v>2381</v>
      </c>
      <c r="F1672" t="s">
        <v>2440</v>
      </c>
      <c r="I1672" t="s">
        <v>2446</v>
      </c>
      <c r="J1672" t="s">
        <v>2448</v>
      </c>
      <c r="K1672" t="s">
        <v>2569</v>
      </c>
      <c r="L1672" t="s">
        <v>2600</v>
      </c>
      <c r="M1672" t="s">
        <v>2631</v>
      </c>
    </row>
    <row r="1673" spans="1:14">
      <c r="A1673" s="1">
        <f>HYPERLINK("https://lsnyc.legalserver.org/matter/dynamic-profile/view/1877213","18-1877213")</f>
        <v>0</v>
      </c>
      <c r="B1673" t="s">
        <v>15</v>
      </c>
      <c r="C1673" t="s">
        <v>22</v>
      </c>
      <c r="D1673" t="s">
        <v>428</v>
      </c>
      <c r="E1673" t="s">
        <v>2376</v>
      </c>
      <c r="F1673" t="s">
        <v>2437</v>
      </c>
      <c r="I1673" t="s">
        <v>2446</v>
      </c>
      <c r="J1673" t="s">
        <v>2502</v>
      </c>
      <c r="K1673" t="s">
        <v>2578</v>
      </c>
      <c r="L1673" t="s">
        <v>2600</v>
      </c>
      <c r="M1673" t="s">
        <v>2618</v>
      </c>
    </row>
    <row r="1674" spans="1:14">
      <c r="A1674" s="1">
        <f>HYPERLINK("https://lsnyc.legalserver.org/matter/dynamic-profile/view/1874872","18-1874872")</f>
        <v>0</v>
      </c>
      <c r="B1674" t="s">
        <v>17</v>
      </c>
      <c r="C1674" t="s">
        <v>42</v>
      </c>
      <c r="D1674" t="s">
        <v>178</v>
      </c>
      <c r="E1674" t="s">
        <v>2375</v>
      </c>
      <c r="F1674" t="s">
        <v>2437</v>
      </c>
      <c r="I1674" t="s">
        <v>2446</v>
      </c>
      <c r="J1674" t="s">
        <v>2471</v>
      </c>
      <c r="K1674" t="s">
        <v>2571</v>
      </c>
      <c r="M1674" t="s">
        <v>2617</v>
      </c>
    </row>
    <row r="1675" spans="1:14">
      <c r="A1675" s="1">
        <f>HYPERLINK("https://lsnyc.legalserver.org/matter/dynamic-profile/view/1877220","18-1877220")</f>
        <v>0</v>
      </c>
      <c r="B1675" t="s">
        <v>16</v>
      </c>
      <c r="C1675" t="s">
        <v>46</v>
      </c>
      <c r="D1675" t="s">
        <v>1336</v>
      </c>
      <c r="E1675" t="s">
        <v>2390</v>
      </c>
      <c r="F1675" t="s">
        <v>2437</v>
      </c>
      <c r="I1675" t="s">
        <v>2446</v>
      </c>
      <c r="J1675" t="s">
        <v>2448</v>
      </c>
      <c r="K1675" t="s">
        <v>2572</v>
      </c>
      <c r="L1675" t="s">
        <v>2600</v>
      </c>
      <c r="M1675" t="s">
        <v>2619</v>
      </c>
    </row>
    <row r="1676" spans="1:14">
      <c r="A1676" s="1">
        <f>HYPERLINK("https://lsnyc.legalserver.org/matter/dynamic-profile/view/1877078","18-1877078")</f>
        <v>0</v>
      </c>
      <c r="B1676" t="s">
        <v>19</v>
      </c>
      <c r="C1676" t="s">
        <v>62</v>
      </c>
      <c r="D1676" t="s">
        <v>1337</v>
      </c>
      <c r="E1676" t="s">
        <v>2374</v>
      </c>
      <c r="F1676" t="s">
        <v>2439</v>
      </c>
      <c r="I1676" t="s">
        <v>2446</v>
      </c>
      <c r="J1676" t="s">
        <v>2465</v>
      </c>
      <c r="K1676" t="s">
        <v>2569</v>
      </c>
      <c r="L1676" t="s">
        <v>2601</v>
      </c>
      <c r="M1676" t="s">
        <v>2631</v>
      </c>
    </row>
    <row r="1677" spans="1:14">
      <c r="A1677" s="1">
        <f>HYPERLINK("https://lsnyc.legalserver.org/matter/dynamic-profile/view/1877038","18-1877038")</f>
        <v>0</v>
      </c>
      <c r="B1677" t="s">
        <v>18</v>
      </c>
      <c r="C1677" t="s">
        <v>35</v>
      </c>
      <c r="D1677" t="s">
        <v>1338</v>
      </c>
      <c r="E1677" t="s">
        <v>2371</v>
      </c>
      <c r="F1677" t="s">
        <v>2440</v>
      </c>
      <c r="I1677" t="s">
        <v>2446</v>
      </c>
      <c r="J1677" t="s">
        <v>2448</v>
      </c>
      <c r="K1677" t="s">
        <v>2572</v>
      </c>
      <c r="L1677" t="s">
        <v>2600</v>
      </c>
      <c r="M1677" t="s">
        <v>2636</v>
      </c>
    </row>
    <row r="1678" spans="1:14">
      <c r="A1678" s="1">
        <f>HYPERLINK("https://lsnyc.legalserver.org/matter/dynamic-profile/view/1877097","18-1877097")</f>
        <v>0</v>
      </c>
      <c r="B1678" t="s">
        <v>14</v>
      </c>
      <c r="C1678" t="s">
        <v>21</v>
      </c>
      <c r="D1678" t="s">
        <v>1339</v>
      </c>
      <c r="E1678" t="s">
        <v>2416</v>
      </c>
      <c r="F1678" t="s">
        <v>2437</v>
      </c>
      <c r="G1678" t="s">
        <v>2444</v>
      </c>
      <c r="I1678" t="s">
        <v>2446</v>
      </c>
      <c r="J1678" t="s">
        <v>2457</v>
      </c>
      <c r="K1678" t="s">
        <v>2569</v>
      </c>
      <c r="L1678" t="s">
        <v>2600</v>
      </c>
      <c r="M1678" t="s">
        <v>2644</v>
      </c>
    </row>
    <row r="1679" spans="1:14">
      <c r="A1679" s="1">
        <f>HYPERLINK("https://lsnyc.legalserver.org/matter/dynamic-profile/view/1877110","18-1877110")</f>
        <v>0</v>
      </c>
      <c r="B1679" t="s">
        <v>14</v>
      </c>
      <c r="C1679" t="s">
        <v>21</v>
      </c>
      <c r="D1679" t="s">
        <v>1339</v>
      </c>
      <c r="E1679" t="s">
        <v>2406</v>
      </c>
      <c r="F1679" t="s">
        <v>2437</v>
      </c>
      <c r="G1679" t="s">
        <v>2444</v>
      </c>
      <c r="I1679" t="s">
        <v>2446</v>
      </c>
      <c r="J1679" t="s">
        <v>2457</v>
      </c>
      <c r="K1679" t="s">
        <v>2569</v>
      </c>
      <c r="L1679" t="s">
        <v>2600</v>
      </c>
      <c r="M1679" t="s">
        <v>2642</v>
      </c>
    </row>
    <row r="1680" spans="1:14">
      <c r="A1680" s="1">
        <f>HYPERLINK("https://lsnyc.legalserver.org/matter/dynamic-profile/view/1877098","18-1877098")</f>
        <v>0</v>
      </c>
      <c r="B1680" t="s">
        <v>16</v>
      </c>
      <c r="C1680" t="s">
        <v>46</v>
      </c>
      <c r="D1680" t="s">
        <v>1340</v>
      </c>
      <c r="E1680" t="s">
        <v>2390</v>
      </c>
      <c r="F1680" t="s">
        <v>2437</v>
      </c>
      <c r="I1680" t="s">
        <v>2446</v>
      </c>
      <c r="J1680" t="s">
        <v>2448</v>
      </c>
      <c r="K1680" t="s">
        <v>2569</v>
      </c>
      <c r="L1680" t="s">
        <v>2600</v>
      </c>
      <c r="M1680" t="s">
        <v>2626</v>
      </c>
    </row>
    <row r="1681" spans="1:14">
      <c r="A1681" s="1">
        <f>HYPERLINK("https://lsnyc.legalserver.org/matter/dynamic-profile/view/1877048","18-1877048")</f>
        <v>0</v>
      </c>
      <c r="B1681" t="s">
        <v>18</v>
      </c>
      <c r="C1681" t="s">
        <v>45</v>
      </c>
      <c r="D1681" t="s">
        <v>531</v>
      </c>
      <c r="E1681" t="s">
        <v>2374</v>
      </c>
      <c r="F1681" t="s">
        <v>2440</v>
      </c>
      <c r="I1681" t="s">
        <v>2446</v>
      </c>
      <c r="J1681" t="s">
        <v>2449</v>
      </c>
      <c r="K1681" t="s">
        <v>2569</v>
      </c>
      <c r="M1681" t="s">
        <v>2631</v>
      </c>
    </row>
    <row r="1682" spans="1:14">
      <c r="A1682" s="1">
        <f>HYPERLINK("https://lsnyc.legalserver.org/matter/dynamic-profile/view/1876752","18-1876752")</f>
        <v>0</v>
      </c>
      <c r="B1682" t="s">
        <v>18</v>
      </c>
      <c r="C1682" t="s">
        <v>35</v>
      </c>
      <c r="D1682" t="s">
        <v>1341</v>
      </c>
      <c r="E1682" t="s">
        <v>2387</v>
      </c>
      <c r="F1682" t="s">
        <v>2439</v>
      </c>
      <c r="I1682" t="s">
        <v>2446</v>
      </c>
      <c r="J1682" t="s">
        <v>2448</v>
      </c>
      <c r="K1682" t="s">
        <v>2569</v>
      </c>
      <c r="L1682" t="s">
        <v>2602</v>
      </c>
      <c r="M1682" t="s">
        <v>2641</v>
      </c>
    </row>
    <row r="1683" spans="1:14">
      <c r="A1683" s="1">
        <f>HYPERLINK("https://lsnyc.legalserver.org/matter/dynamic-profile/view/1874676","18-1874676")</f>
        <v>0</v>
      </c>
      <c r="B1683" t="s">
        <v>15</v>
      </c>
      <c r="C1683" t="s">
        <v>32</v>
      </c>
      <c r="D1683" t="s">
        <v>1342</v>
      </c>
      <c r="E1683" t="s">
        <v>2395</v>
      </c>
      <c r="F1683" t="s">
        <v>2439</v>
      </c>
      <c r="I1683" t="s">
        <v>2446</v>
      </c>
      <c r="J1683" t="s">
        <v>2458</v>
      </c>
      <c r="K1683" t="s">
        <v>2569</v>
      </c>
      <c r="L1683" t="s">
        <v>2603</v>
      </c>
      <c r="M1683" t="s">
        <v>2631</v>
      </c>
    </row>
    <row r="1684" spans="1:14">
      <c r="A1684" s="1">
        <f>HYPERLINK("https://lsnyc.legalserver.org/matter/dynamic-profile/view/1876874","18-1876874")</f>
        <v>0</v>
      </c>
      <c r="B1684" t="s">
        <v>14</v>
      </c>
      <c r="C1684" t="s">
        <v>21</v>
      </c>
      <c r="D1684" t="s">
        <v>1343</v>
      </c>
      <c r="E1684" t="s">
        <v>2399</v>
      </c>
      <c r="F1684" t="s">
        <v>2437</v>
      </c>
      <c r="J1684" t="s">
        <v>2447</v>
      </c>
      <c r="K1684" t="s">
        <v>2569</v>
      </c>
      <c r="L1684" t="s">
        <v>2600</v>
      </c>
      <c r="M1684" t="s">
        <v>2621</v>
      </c>
      <c r="N1684" t="s">
        <v>2648</v>
      </c>
    </row>
    <row r="1685" spans="1:14">
      <c r="A1685" s="1">
        <f>HYPERLINK("https://lsnyc.legalserver.org/matter/dynamic-profile/view/1876702","18-1876702")</f>
        <v>0</v>
      </c>
      <c r="B1685" t="s">
        <v>18</v>
      </c>
      <c r="C1685" t="s">
        <v>35</v>
      </c>
      <c r="D1685" t="s">
        <v>1344</v>
      </c>
      <c r="E1685" t="s">
        <v>2374</v>
      </c>
      <c r="F1685" t="s">
        <v>2439</v>
      </c>
      <c r="I1685" t="s">
        <v>2446</v>
      </c>
      <c r="J1685" t="s">
        <v>2457</v>
      </c>
      <c r="K1685" t="s">
        <v>2569</v>
      </c>
      <c r="L1685" t="s">
        <v>2602</v>
      </c>
      <c r="M1685" t="s">
        <v>2631</v>
      </c>
    </row>
    <row r="1686" spans="1:14">
      <c r="A1686" s="1">
        <f>HYPERLINK("https://lsnyc.legalserver.org/matter/dynamic-profile/view/1876717","18-1876717")</f>
        <v>0</v>
      </c>
      <c r="B1686" t="s">
        <v>18</v>
      </c>
      <c r="C1686" t="s">
        <v>35</v>
      </c>
      <c r="D1686" t="s">
        <v>279</v>
      </c>
      <c r="E1686" t="s">
        <v>2393</v>
      </c>
      <c r="F1686" t="s">
        <v>2437</v>
      </c>
      <c r="I1686" t="s">
        <v>2446</v>
      </c>
      <c r="J1686" t="s">
        <v>2483</v>
      </c>
      <c r="K1686" t="s">
        <v>2572</v>
      </c>
      <c r="L1686" t="s">
        <v>2603</v>
      </c>
      <c r="M1686" t="s">
        <v>2637</v>
      </c>
    </row>
    <row r="1687" spans="1:14">
      <c r="A1687" s="1">
        <f>HYPERLINK("https://lsnyc.legalserver.org/matter/dynamic-profile/view/1876667","18-1876667")</f>
        <v>0</v>
      </c>
      <c r="B1687" t="s">
        <v>19</v>
      </c>
      <c r="C1687" t="s">
        <v>62</v>
      </c>
      <c r="D1687" t="s">
        <v>1345</v>
      </c>
      <c r="E1687" t="s">
        <v>2383</v>
      </c>
      <c r="F1687" t="s">
        <v>2437</v>
      </c>
      <c r="I1687" t="s">
        <v>2446</v>
      </c>
      <c r="J1687" t="s">
        <v>2457</v>
      </c>
      <c r="K1687" t="s">
        <v>2569</v>
      </c>
      <c r="L1687" t="s">
        <v>2600</v>
      </c>
      <c r="M1687" t="s">
        <v>2624</v>
      </c>
    </row>
    <row r="1688" spans="1:14">
      <c r="A1688" s="1">
        <f>HYPERLINK("https://lsnyc.legalserver.org/matter/dynamic-profile/view/1876102","18-1876102")</f>
        <v>0</v>
      </c>
      <c r="B1688" t="s">
        <v>17</v>
      </c>
      <c r="C1688" t="s">
        <v>28</v>
      </c>
      <c r="D1688" t="s">
        <v>722</v>
      </c>
      <c r="E1688" t="s">
        <v>2374</v>
      </c>
      <c r="F1688" t="s">
        <v>2438</v>
      </c>
      <c r="I1688" t="s">
        <v>2446</v>
      </c>
      <c r="J1688" t="s">
        <v>2450</v>
      </c>
      <c r="K1688" t="s">
        <v>2569</v>
      </c>
      <c r="M1688" t="s">
        <v>2616</v>
      </c>
    </row>
    <row r="1689" spans="1:14">
      <c r="A1689" s="1">
        <f>HYPERLINK("https://lsnyc.legalserver.org/matter/dynamic-profile/view/1876660","18-1876660")</f>
        <v>0</v>
      </c>
      <c r="B1689" t="s">
        <v>18</v>
      </c>
      <c r="C1689" t="s">
        <v>35</v>
      </c>
      <c r="D1689" t="s">
        <v>279</v>
      </c>
      <c r="E1689" t="s">
        <v>2390</v>
      </c>
      <c r="F1689" t="s">
        <v>2437</v>
      </c>
      <c r="I1689" t="s">
        <v>2446</v>
      </c>
      <c r="J1689" t="s">
        <v>2483</v>
      </c>
      <c r="K1689" t="s">
        <v>2572</v>
      </c>
      <c r="L1689" t="s">
        <v>2600</v>
      </c>
      <c r="M1689" t="s">
        <v>2619</v>
      </c>
    </row>
    <row r="1690" spans="1:14">
      <c r="A1690" s="1">
        <f>HYPERLINK("https://lsnyc.legalserver.org/matter/dynamic-profile/view/1876500","18-1876500")</f>
        <v>0</v>
      </c>
      <c r="B1690" t="s">
        <v>19</v>
      </c>
      <c r="C1690" t="s">
        <v>47</v>
      </c>
      <c r="D1690" t="s">
        <v>1283</v>
      </c>
      <c r="E1690" t="s">
        <v>2371</v>
      </c>
      <c r="F1690" t="s">
        <v>2440</v>
      </c>
      <c r="J1690" t="s">
        <v>2506</v>
      </c>
      <c r="K1690" t="s">
        <v>2572</v>
      </c>
      <c r="L1690" t="s">
        <v>2601</v>
      </c>
      <c r="M1690" t="s">
        <v>2636</v>
      </c>
    </row>
    <row r="1691" spans="1:14">
      <c r="A1691" s="1">
        <f>HYPERLINK("https://lsnyc.legalserver.org/matter/dynamic-profile/view/1876476","18-1876476")</f>
        <v>0</v>
      </c>
      <c r="B1691" t="s">
        <v>16</v>
      </c>
      <c r="C1691" t="s">
        <v>23</v>
      </c>
      <c r="D1691" t="s">
        <v>1346</v>
      </c>
      <c r="E1691" t="s">
        <v>2385</v>
      </c>
      <c r="F1691" t="s">
        <v>2437</v>
      </c>
      <c r="I1691" t="s">
        <v>2446</v>
      </c>
      <c r="J1691" t="s">
        <v>2450</v>
      </c>
      <c r="K1691" t="s">
        <v>2569</v>
      </c>
      <c r="M1691" t="s">
        <v>2616</v>
      </c>
    </row>
    <row r="1692" spans="1:14">
      <c r="A1692" s="1">
        <f>HYPERLINK("https://lsnyc.legalserver.org/matter/dynamic-profile/view/1876478","18-1876478")</f>
        <v>0</v>
      </c>
      <c r="B1692" t="s">
        <v>16</v>
      </c>
      <c r="C1692" t="s">
        <v>23</v>
      </c>
      <c r="D1692" t="s">
        <v>1347</v>
      </c>
      <c r="E1692" t="s">
        <v>2385</v>
      </c>
      <c r="F1692" t="s">
        <v>2437</v>
      </c>
      <c r="G1692" t="s">
        <v>2444</v>
      </c>
      <c r="I1692" t="s">
        <v>2446</v>
      </c>
      <c r="J1692" t="s">
        <v>2450</v>
      </c>
      <c r="K1692" t="s">
        <v>2569</v>
      </c>
      <c r="M1692" t="s">
        <v>2616</v>
      </c>
    </row>
    <row r="1693" spans="1:14">
      <c r="A1693" s="1">
        <f>HYPERLINK("https://lsnyc.legalserver.org/matter/dynamic-profile/view/1876424","18-1876424")</f>
        <v>0</v>
      </c>
      <c r="B1693" t="s">
        <v>18</v>
      </c>
      <c r="C1693" t="s">
        <v>34</v>
      </c>
      <c r="D1693" t="s">
        <v>1348</v>
      </c>
      <c r="E1693" t="s">
        <v>2393</v>
      </c>
      <c r="F1693" t="s">
        <v>2437</v>
      </c>
      <c r="I1693" t="s">
        <v>2446</v>
      </c>
      <c r="J1693" t="s">
        <v>2543</v>
      </c>
      <c r="K1693" t="s">
        <v>2572</v>
      </c>
      <c r="L1693" t="s">
        <v>2603</v>
      </c>
      <c r="M1693" t="s">
        <v>2637</v>
      </c>
    </row>
    <row r="1694" spans="1:14">
      <c r="A1694" s="1">
        <f>HYPERLINK("https://lsnyc.legalserver.org/matter/dynamic-profile/view/1876422","18-1876422")</f>
        <v>0</v>
      </c>
      <c r="B1694" t="s">
        <v>18</v>
      </c>
      <c r="C1694" t="s">
        <v>34</v>
      </c>
      <c r="D1694" t="s">
        <v>1348</v>
      </c>
      <c r="E1694" t="s">
        <v>2376</v>
      </c>
      <c r="F1694" t="s">
        <v>2437</v>
      </c>
      <c r="I1694" t="s">
        <v>2446</v>
      </c>
      <c r="J1694" t="s">
        <v>2543</v>
      </c>
      <c r="K1694" t="s">
        <v>2572</v>
      </c>
      <c r="L1694" t="s">
        <v>2603</v>
      </c>
      <c r="M1694" t="s">
        <v>2618</v>
      </c>
    </row>
    <row r="1695" spans="1:14">
      <c r="A1695" s="1">
        <f>HYPERLINK("https://lsnyc.legalserver.org/matter/dynamic-profile/view/1876428","18-1876428")</f>
        <v>0</v>
      </c>
      <c r="B1695" t="s">
        <v>19</v>
      </c>
      <c r="C1695" t="s">
        <v>47</v>
      </c>
      <c r="D1695" t="s">
        <v>1349</v>
      </c>
      <c r="E1695" t="s">
        <v>2378</v>
      </c>
      <c r="F1695" t="s">
        <v>2437</v>
      </c>
      <c r="I1695" t="s">
        <v>2446</v>
      </c>
      <c r="J1695" t="s">
        <v>2480</v>
      </c>
      <c r="K1695" t="s">
        <v>2595</v>
      </c>
      <c r="L1695" t="s">
        <v>2604</v>
      </c>
      <c r="M1695" t="s">
        <v>2619</v>
      </c>
    </row>
    <row r="1696" spans="1:14">
      <c r="A1696" s="1">
        <f>HYPERLINK("https://lsnyc.legalserver.org/matter/dynamic-profile/view/1876425","18-1876425")</f>
        <v>0</v>
      </c>
      <c r="B1696" t="s">
        <v>18</v>
      </c>
      <c r="C1696" t="s">
        <v>27</v>
      </c>
      <c r="D1696" t="s">
        <v>1260</v>
      </c>
      <c r="E1696" t="s">
        <v>2381</v>
      </c>
      <c r="F1696" t="s">
        <v>2437</v>
      </c>
      <c r="I1696" t="s">
        <v>2446</v>
      </c>
      <c r="J1696" t="s">
        <v>2448</v>
      </c>
      <c r="K1696" t="s">
        <v>2569</v>
      </c>
      <c r="L1696" t="s">
        <v>2603</v>
      </c>
      <c r="M1696" t="s">
        <v>2622</v>
      </c>
    </row>
    <row r="1697" spans="1:13">
      <c r="A1697" s="1">
        <f>HYPERLINK("https://lsnyc.legalserver.org/matter/dynamic-profile/view/1876301","18-1876301")</f>
        <v>0</v>
      </c>
      <c r="B1697" t="s">
        <v>18</v>
      </c>
      <c r="C1697" t="s">
        <v>34</v>
      </c>
      <c r="D1697" t="s">
        <v>1300</v>
      </c>
      <c r="E1697" t="s">
        <v>2381</v>
      </c>
      <c r="F1697" t="s">
        <v>2440</v>
      </c>
      <c r="I1697" t="s">
        <v>2446</v>
      </c>
      <c r="J1697" t="s">
        <v>2447</v>
      </c>
      <c r="K1697" t="s">
        <v>2569</v>
      </c>
      <c r="L1697" t="s">
        <v>2600</v>
      </c>
      <c r="M1697" t="s">
        <v>2631</v>
      </c>
    </row>
    <row r="1698" spans="1:13">
      <c r="A1698" s="1">
        <f>HYPERLINK("https://lsnyc.legalserver.org/matter/dynamic-profile/view/1876197","18-1876197")</f>
        <v>0</v>
      </c>
      <c r="B1698" t="s">
        <v>16</v>
      </c>
      <c r="C1698" t="s">
        <v>46</v>
      </c>
      <c r="D1698" t="s">
        <v>1350</v>
      </c>
      <c r="E1698" t="s">
        <v>2375</v>
      </c>
      <c r="F1698" t="s">
        <v>2437</v>
      </c>
      <c r="I1698" t="s">
        <v>2446</v>
      </c>
      <c r="J1698" t="s">
        <v>2485</v>
      </c>
      <c r="K1698" t="s">
        <v>2572</v>
      </c>
      <c r="L1698" t="s">
        <v>2603</v>
      </c>
      <c r="M1698" t="s">
        <v>2617</v>
      </c>
    </row>
    <row r="1699" spans="1:13">
      <c r="A1699" s="1">
        <f>HYPERLINK("https://lsnyc.legalserver.org/matter/dynamic-profile/view/1876213","18-1876213")</f>
        <v>0</v>
      </c>
      <c r="B1699" t="s">
        <v>19</v>
      </c>
      <c r="C1699" t="s">
        <v>54</v>
      </c>
      <c r="D1699" t="s">
        <v>1351</v>
      </c>
      <c r="E1699" t="s">
        <v>2374</v>
      </c>
      <c r="F1699" t="s">
        <v>2438</v>
      </c>
      <c r="I1699" t="s">
        <v>2446</v>
      </c>
      <c r="J1699" t="s">
        <v>2454</v>
      </c>
      <c r="K1699" t="s">
        <v>2572</v>
      </c>
      <c r="L1699" t="s">
        <v>2602</v>
      </c>
      <c r="M1699" t="s">
        <v>2616</v>
      </c>
    </row>
    <row r="1700" spans="1:13">
      <c r="A1700" s="1">
        <f>HYPERLINK("https://lsnyc.legalserver.org/matter/dynamic-profile/view/1876017","18-1876017")</f>
        <v>0</v>
      </c>
      <c r="B1700" t="s">
        <v>19</v>
      </c>
      <c r="C1700" t="s">
        <v>62</v>
      </c>
      <c r="D1700" t="s">
        <v>1352</v>
      </c>
      <c r="E1700" t="s">
        <v>2374</v>
      </c>
      <c r="F1700" t="s">
        <v>2439</v>
      </c>
      <c r="I1700" t="s">
        <v>2446</v>
      </c>
      <c r="J1700" t="s">
        <v>2465</v>
      </c>
      <c r="K1700" t="s">
        <v>2569</v>
      </c>
      <c r="L1700" t="s">
        <v>2601</v>
      </c>
      <c r="M1700" t="s">
        <v>2631</v>
      </c>
    </row>
    <row r="1701" spans="1:13">
      <c r="A1701" s="1">
        <f>HYPERLINK("https://lsnyc.legalserver.org/matter/dynamic-profile/view/1875996","18-1875996")</f>
        <v>0</v>
      </c>
      <c r="B1701" t="s">
        <v>17</v>
      </c>
      <c r="C1701" t="s">
        <v>25</v>
      </c>
      <c r="D1701" t="s">
        <v>1353</v>
      </c>
      <c r="E1701" t="s">
        <v>2375</v>
      </c>
      <c r="F1701" t="s">
        <v>2437</v>
      </c>
      <c r="I1701" t="s">
        <v>2446</v>
      </c>
      <c r="J1701" t="s">
        <v>2457</v>
      </c>
      <c r="K1701" t="s">
        <v>2569</v>
      </c>
      <c r="L1701" t="s">
        <v>2603</v>
      </c>
      <c r="M1701" t="s">
        <v>2617</v>
      </c>
    </row>
    <row r="1702" spans="1:13">
      <c r="A1702" s="1">
        <f>HYPERLINK("https://lsnyc.legalserver.org/matter/dynamic-profile/view/1873556","18-1873556")</f>
        <v>0</v>
      </c>
      <c r="B1702" t="s">
        <v>17</v>
      </c>
      <c r="C1702" t="s">
        <v>60</v>
      </c>
      <c r="D1702" t="s">
        <v>1354</v>
      </c>
      <c r="E1702" t="s">
        <v>2370</v>
      </c>
      <c r="F1702" t="s">
        <v>2437</v>
      </c>
      <c r="I1702" t="s">
        <v>2446</v>
      </c>
      <c r="J1702" t="s">
        <v>2452</v>
      </c>
      <c r="K1702" t="s">
        <v>2572</v>
      </c>
      <c r="L1702" t="s">
        <v>2604</v>
      </c>
      <c r="M1702" t="s">
        <v>2638</v>
      </c>
    </row>
    <row r="1703" spans="1:13">
      <c r="A1703" s="1">
        <f>HYPERLINK("https://lsnyc.legalserver.org/matter/dynamic-profile/view/1875840","18-1875840")</f>
        <v>0</v>
      </c>
      <c r="B1703" t="s">
        <v>19</v>
      </c>
      <c r="C1703" t="s">
        <v>47</v>
      </c>
      <c r="D1703" t="s">
        <v>1355</v>
      </c>
      <c r="F1703" t="s">
        <v>2439</v>
      </c>
      <c r="I1703" t="s">
        <v>2446</v>
      </c>
      <c r="K1703" t="s">
        <v>2572</v>
      </c>
      <c r="L1703" t="s">
        <v>2601</v>
      </c>
      <c r="M1703" t="s">
        <v>2631</v>
      </c>
    </row>
    <row r="1704" spans="1:13">
      <c r="A1704" s="1">
        <f>HYPERLINK("https://lsnyc.legalserver.org/matter/dynamic-profile/view/1875815","18-1875815")</f>
        <v>0</v>
      </c>
      <c r="B1704" t="s">
        <v>16</v>
      </c>
      <c r="C1704" t="s">
        <v>24</v>
      </c>
      <c r="D1704" t="s">
        <v>1356</v>
      </c>
      <c r="E1704" t="s">
        <v>2390</v>
      </c>
      <c r="F1704" t="s">
        <v>2439</v>
      </c>
      <c r="I1704" t="s">
        <v>2446</v>
      </c>
      <c r="J1704" t="s">
        <v>2448</v>
      </c>
      <c r="K1704" t="s">
        <v>2569</v>
      </c>
      <c r="L1704" t="s">
        <v>2601</v>
      </c>
      <c r="M1704" t="s">
        <v>2631</v>
      </c>
    </row>
    <row r="1705" spans="1:13">
      <c r="A1705" s="1">
        <f>HYPERLINK("https://lsnyc.legalserver.org/matter/dynamic-profile/view/1875839","18-1875839")</f>
        <v>0</v>
      </c>
      <c r="B1705" t="s">
        <v>17</v>
      </c>
      <c r="C1705" t="s">
        <v>28</v>
      </c>
      <c r="D1705" t="s">
        <v>1357</v>
      </c>
      <c r="E1705" t="s">
        <v>2373</v>
      </c>
      <c r="F1705" t="s">
        <v>2441</v>
      </c>
      <c r="I1705" t="s">
        <v>2446</v>
      </c>
      <c r="J1705" t="s">
        <v>2465</v>
      </c>
      <c r="K1705" t="s">
        <v>2569</v>
      </c>
      <c r="M1705" t="s">
        <v>2615</v>
      </c>
    </row>
    <row r="1706" spans="1:13">
      <c r="A1706" s="1">
        <f>HYPERLINK("https://lsnyc.legalserver.org/matter/dynamic-profile/view/1875751","18-1875751")</f>
        <v>0</v>
      </c>
      <c r="B1706" t="s">
        <v>16</v>
      </c>
      <c r="C1706" t="s">
        <v>23</v>
      </c>
      <c r="D1706" t="s">
        <v>1358</v>
      </c>
      <c r="E1706" t="s">
        <v>2390</v>
      </c>
      <c r="F1706" t="s">
        <v>2439</v>
      </c>
      <c r="I1706" t="s">
        <v>2446</v>
      </c>
      <c r="J1706" t="s">
        <v>2474</v>
      </c>
      <c r="K1706" t="s">
        <v>2572</v>
      </c>
      <c r="L1706" t="s">
        <v>2601</v>
      </c>
      <c r="M1706" t="s">
        <v>2631</v>
      </c>
    </row>
    <row r="1707" spans="1:13">
      <c r="A1707" s="1">
        <f>HYPERLINK("https://lsnyc.legalserver.org/matter/dynamic-profile/view/1867188","18-1867188")</f>
        <v>0</v>
      </c>
      <c r="B1707" t="s">
        <v>17</v>
      </c>
      <c r="C1707" t="s">
        <v>25</v>
      </c>
      <c r="D1707" t="s">
        <v>1359</v>
      </c>
      <c r="E1707" t="s">
        <v>2375</v>
      </c>
      <c r="F1707" t="s">
        <v>2437</v>
      </c>
      <c r="I1707" t="s">
        <v>2446</v>
      </c>
      <c r="J1707" t="s">
        <v>2477</v>
      </c>
      <c r="K1707" t="s">
        <v>2569</v>
      </c>
      <c r="M1707" t="s">
        <v>2617</v>
      </c>
    </row>
    <row r="1708" spans="1:13">
      <c r="A1708" s="1">
        <f>HYPERLINK("https://lsnyc.legalserver.org/matter/dynamic-profile/view/1875589","18-1875589")</f>
        <v>0</v>
      </c>
      <c r="B1708" t="s">
        <v>16</v>
      </c>
      <c r="C1708" t="s">
        <v>46</v>
      </c>
      <c r="D1708" t="s">
        <v>1360</v>
      </c>
      <c r="E1708" t="s">
        <v>2387</v>
      </c>
      <c r="F1708" t="s">
        <v>2437</v>
      </c>
      <c r="I1708" t="s">
        <v>2446</v>
      </c>
      <c r="J1708" t="s">
        <v>2457</v>
      </c>
      <c r="K1708" t="s">
        <v>2569</v>
      </c>
      <c r="M1708" t="s">
        <v>2629</v>
      </c>
    </row>
    <row r="1709" spans="1:13">
      <c r="A1709" s="1">
        <f>HYPERLINK("https://lsnyc.legalserver.org/matter/dynamic-profile/view/1875484","18-1875484")</f>
        <v>0</v>
      </c>
      <c r="B1709" t="s">
        <v>16</v>
      </c>
      <c r="C1709" t="s">
        <v>24</v>
      </c>
      <c r="D1709" t="s">
        <v>1361</v>
      </c>
      <c r="E1709" t="s">
        <v>2387</v>
      </c>
      <c r="F1709" t="s">
        <v>2439</v>
      </c>
      <c r="I1709" t="s">
        <v>2446</v>
      </c>
      <c r="J1709" t="s">
        <v>2452</v>
      </c>
      <c r="K1709" t="s">
        <v>2572</v>
      </c>
      <c r="L1709" t="s">
        <v>2601</v>
      </c>
      <c r="M1709" t="s">
        <v>2641</v>
      </c>
    </row>
    <row r="1710" spans="1:13">
      <c r="A1710" s="1">
        <f>HYPERLINK("https://lsnyc.legalserver.org/matter/dynamic-profile/view/1875499","18-1875499")</f>
        <v>0</v>
      </c>
      <c r="B1710" t="s">
        <v>19</v>
      </c>
      <c r="C1710" t="s">
        <v>50</v>
      </c>
      <c r="D1710" t="s">
        <v>1362</v>
      </c>
      <c r="E1710" t="s">
        <v>2386</v>
      </c>
      <c r="F1710" t="s">
        <v>2436</v>
      </c>
      <c r="J1710" t="s">
        <v>2487</v>
      </c>
      <c r="K1710" t="s">
        <v>2572</v>
      </c>
      <c r="L1710" t="s">
        <v>2601</v>
      </c>
      <c r="M1710" t="s">
        <v>2631</v>
      </c>
    </row>
    <row r="1711" spans="1:13">
      <c r="A1711" s="1">
        <f>HYPERLINK("https://lsnyc.legalserver.org/matter/dynamic-profile/view/1875528","18-1875528")</f>
        <v>0</v>
      </c>
      <c r="B1711" t="s">
        <v>16</v>
      </c>
      <c r="C1711" t="s">
        <v>46</v>
      </c>
      <c r="D1711" t="s">
        <v>1363</v>
      </c>
      <c r="E1711" t="s">
        <v>2390</v>
      </c>
      <c r="F1711" t="s">
        <v>2437</v>
      </c>
      <c r="I1711" t="s">
        <v>2446</v>
      </c>
      <c r="J1711" t="s">
        <v>2467</v>
      </c>
      <c r="K1711" t="s">
        <v>2572</v>
      </c>
      <c r="M1711" t="s">
        <v>2619</v>
      </c>
    </row>
    <row r="1712" spans="1:13">
      <c r="A1712" s="1">
        <f>HYPERLINK("https://lsnyc.legalserver.org/matter/dynamic-profile/view/1875365","18-1875365")</f>
        <v>0</v>
      </c>
      <c r="B1712" t="s">
        <v>16</v>
      </c>
      <c r="C1712" t="s">
        <v>23</v>
      </c>
      <c r="D1712" t="s">
        <v>1364</v>
      </c>
      <c r="E1712" t="s">
        <v>2375</v>
      </c>
      <c r="F1712" t="s">
        <v>2439</v>
      </c>
      <c r="I1712" t="s">
        <v>2446</v>
      </c>
      <c r="J1712" t="s">
        <v>2454</v>
      </c>
      <c r="K1712" t="s">
        <v>2572</v>
      </c>
      <c r="L1712" t="s">
        <v>2601</v>
      </c>
      <c r="M1712" t="s">
        <v>2631</v>
      </c>
    </row>
    <row r="1713" spans="1:14">
      <c r="A1713" s="1">
        <f>HYPERLINK("https://lsnyc.legalserver.org/matter/dynamic-profile/view/1875339","18-1875339")</f>
        <v>0</v>
      </c>
      <c r="B1713" t="s">
        <v>16</v>
      </c>
      <c r="C1713" t="s">
        <v>23</v>
      </c>
      <c r="D1713" t="s">
        <v>1365</v>
      </c>
      <c r="E1713" t="s">
        <v>2390</v>
      </c>
      <c r="F1713" t="s">
        <v>2439</v>
      </c>
      <c r="I1713" t="s">
        <v>2446</v>
      </c>
      <c r="J1713" t="s">
        <v>2462</v>
      </c>
      <c r="K1713" t="s">
        <v>2572</v>
      </c>
      <c r="L1713" t="s">
        <v>2601</v>
      </c>
      <c r="M1713" t="s">
        <v>2631</v>
      </c>
    </row>
    <row r="1714" spans="1:14">
      <c r="A1714" s="1">
        <f>HYPERLINK("https://lsnyc.legalserver.org/matter/dynamic-profile/view/1875346","18-1875346")</f>
        <v>0</v>
      </c>
      <c r="B1714" t="s">
        <v>16</v>
      </c>
      <c r="C1714" t="s">
        <v>23</v>
      </c>
      <c r="D1714" t="s">
        <v>1366</v>
      </c>
      <c r="E1714" t="s">
        <v>2390</v>
      </c>
      <c r="F1714" t="s">
        <v>2439</v>
      </c>
      <c r="I1714" t="s">
        <v>2446</v>
      </c>
      <c r="J1714" t="s">
        <v>2462</v>
      </c>
      <c r="K1714" t="s">
        <v>2572</v>
      </c>
      <c r="L1714" t="s">
        <v>2601</v>
      </c>
      <c r="M1714" t="s">
        <v>2631</v>
      </c>
    </row>
    <row r="1715" spans="1:14">
      <c r="A1715" s="1">
        <f>HYPERLINK("https://lsnyc.legalserver.org/matter/dynamic-profile/view/1875377","18-1875377")</f>
        <v>0</v>
      </c>
      <c r="B1715" t="s">
        <v>16</v>
      </c>
      <c r="C1715" t="s">
        <v>46</v>
      </c>
      <c r="D1715" t="s">
        <v>1367</v>
      </c>
      <c r="E1715" t="s">
        <v>2390</v>
      </c>
      <c r="F1715" t="s">
        <v>2437</v>
      </c>
      <c r="I1715" t="s">
        <v>2446</v>
      </c>
      <c r="J1715" t="s">
        <v>2448</v>
      </c>
      <c r="K1715" t="s">
        <v>2572</v>
      </c>
      <c r="L1715" t="s">
        <v>2600</v>
      </c>
      <c r="M1715" t="s">
        <v>2619</v>
      </c>
    </row>
    <row r="1716" spans="1:14">
      <c r="A1716" s="1">
        <f>HYPERLINK("https://lsnyc.legalserver.org/matter/dynamic-profile/view/1875403","18-1875403")</f>
        <v>0</v>
      </c>
      <c r="B1716" t="s">
        <v>16</v>
      </c>
      <c r="C1716" t="s">
        <v>23</v>
      </c>
      <c r="D1716" t="s">
        <v>1368</v>
      </c>
      <c r="E1716" t="s">
        <v>2390</v>
      </c>
      <c r="F1716" t="s">
        <v>2437</v>
      </c>
      <c r="I1716" t="s">
        <v>2446</v>
      </c>
      <c r="J1716" t="s">
        <v>2493</v>
      </c>
      <c r="K1716" t="s">
        <v>2572</v>
      </c>
      <c r="M1716" t="s">
        <v>2626</v>
      </c>
    </row>
    <row r="1717" spans="1:14">
      <c r="A1717" s="1">
        <f>HYPERLINK("https://lsnyc.legalserver.org/matter/dynamic-profile/view/1875255","18-1875255")</f>
        <v>0</v>
      </c>
      <c r="B1717" t="s">
        <v>19</v>
      </c>
      <c r="C1717" t="s">
        <v>47</v>
      </c>
      <c r="D1717" t="s">
        <v>1369</v>
      </c>
      <c r="E1717" t="s">
        <v>2376</v>
      </c>
      <c r="F1717" t="s">
        <v>2437</v>
      </c>
      <c r="I1717" t="s">
        <v>2446</v>
      </c>
      <c r="J1717" t="s">
        <v>2450</v>
      </c>
      <c r="K1717" t="s">
        <v>2569</v>
      </c>
      <c r="L1717" t="s">
        <v>2600</v>
      </c>
      <c r="M1717" t="s">
        <v>2618</v>
      </c>
    </row>
    <row r="1718" spans="1:14">
      <c r="A1718" s="1">
        <f>HYPERLINK("https://lsnyc.legalserver.org/matter/dynamic-profile/view/1875259","18-1875259")</f>
        <v>0</v>
      </c>
      <c r="B1718" t="s">
        <v>16</v>
      </c>
      <c r="C1718" t="s">
        <v>23</v>
      </c>
      <c r="D1718" t="s">
        <v>1370</v>
      </c>
      <c r="E1718" t="s">
        <v>2375</v>
      </c>
      <c r="F1718" t="s">
        <v>2437</v>
      </c>
      <c r="I1718" t="s">
        <v>2446</v>
      </c>
      <c r="J1718" t="s">
        <v>2471</v>
      </c>
      <c r="K1718" t="s">
        <v>2571</v>
      </c>
      <c r="M1718" t="s">
        <v>2617</v>
      </c>
    </row>
    <row r="1719" spans="1:14">
      <c r="A1719" s="1">
        <f>HYPERLINK("https://lsnyc.legalserver.org/matter/dynamic-profile/view/1875267","18-1875267")</f>
        <v>0</v>
      </c>
      <c r="B1719" t="s">
        <v>16</v>
      </c>
      <c r="C1719" t="s">
        <v>23</v>
      </c>
      <c r="D1719" t="s">
        <v>1371</v>
      </c>
      <c r="E1719" t="s">
        <v>2390</v>
      </c>
      <c r="F1719" t="s">
        <v>2437</v>
      </c>
      <c r="I1719" t="s">
        <v>2446</v>
      </c>
      <c r="J1719" t="s">
        <v>2450</v>
      </c>
      <c r="K1719" t="s">
        <v>2569</v>
      </c>
      <c r="M1719" t="s">
        <v>2619</v>
      </c>
    </row>
    <row r="1720" spans="1:14">
      <c r="A1720" s="1">
        <f>HYPERLINK("https://lsnyc.legalserver.org/matter/dynamic-profile/view/1875282","18-1875282")</f>
        <v>0</v>
      </c>
      <c r="B1720" t="s">
        <v>16</v>
      </c>
      <c r="C1720" t="s">
        <v>23</v>
      </c>
      <c r="D1720" t="s">
        <v>1372</v>
      </c>
      <c r="E1720" t="s">
        <v>2390</v>
      </c>
      <c r="F1720" t="s">
        <v>2437</v>
      </c>
      <c r="I1720" t="s">
        <v>2446</v>
      </c>
      <c r="J1720" t="s">
        <v>2448</v>
      </c>
      <c r="K1720" t="s">
        <v>2569</v>
      </c>
      <c r="M1720" t="s">
        <v>2626</v>
      </c>
    </row>
    <row r="1721" spans="1:14">
      <c r="A1721" s="1">
        <f>HYPERLINK("https://lsnyc.legalserver.org/matter/dynamic-profile/view/1875132","18-1875132")</f>
        <v>0</v>
      </c>
      <c r="B1721" t="s">
        <v>19</v>
      </c>
      <c r="C1721" t="s">
        <v>38</v>
      </c>
      <c r="D1721" t="s">
        <v>1373</v>
      </c>
      <c r="E1721" t="s">
        <v>2374</v>
      </c>
      <c r="F1721" t="s">
        <v>2439</v>
      </c>
      <c r="J1721" t="s">
        <v>2449</v>
      </c>
      <c r="K1721" t="s">
        <v>2569</v>
      </c>
      <c r="L1721" t="s">
        <v>2601</v>
      </c>
      <c r="M1721" t="s">
        <v>2631</v>
      </c>
    </row>
    <row r="1722" spans="1:14">
      <c r="A1722" s="1">
        <f>HYPERLINK("https://lsnyc.legalserver.org/matter/dynamic-profile/view/1875135","18-1875135")</f>
        <v>0</v>
      </c>
      <c r="B1722" t="s">
        <v>19</v>
      </c>
      <c r="C1722" t="s">
        <v>47</v>
      </c>
      <c r="D1722" t="s">
        <v>1374</v>
      </c>
      <c r="E1722" t="s">
        <v>2375</v>
      </c>
      <c r="F1722" t="s">
        <v>2437</v>
      </c>
      <c r="I1722" t="s">
        <v>2446</v>
      </c>
      <c r="J1722" t="s">
        <v>2488</v>
      </c>
      <c r="K1722" t="s">
        <v>2569</v>
      </c>
      <c r="L1722" t="s">
        <v>2600</v>
      </c>
      <c r="M1722" t="s">
        <v>2617</v>
      </c>
      <c r="N1722" t="s">
        <v>2648</v>
      </c>
    </row>
    <row r="1723" spans="1:14">
      <c r="A1723" s="1">
        <f>HYPERLINK("https://lsnyc.legalserver.org/matter/dynamic-profile/view/1875035","18-1875035")</f>
        <v>0</v>
      </c>
      <c r="B1723" t="s">
        <v>16</v>
      </c>
      <c r="C1723" t="s">
        <v>23</v>
      </c>
      <c r="D1723" t="s">
        <v>1375</v>
      </c>
      <c r="E1723" t="s">
        <v>2390</v>
      </c>
      <c r="F1723" t="s">
        <v>2439</v>
      </c>
      <c r="I1723" t="s">
        <v>2446</v>
      </c>
      <c r="J1723" t="s">
        <v>2544</v>
      </c>
      <c r="K1723" t="s">
        <v>2572</v>
      </c>
      <c r="L1723" t="s">
        <v>2601</v>
      </c>
      <c r="M1723" t="s">
        <v>2631</v>
      </c>
    </row>
    <row r="1724" spans="1:14">
      <c r="A1724" s="1">
        <f>HYPERLINK("https://lsnyc.legalserver.org/matter/dynamic-profile/view/1875013","18-1875013")</f>
        <v>0</v>
      </c>
      <c r="B1724" t="s">
        <v>18</v>
      </c>
      <c r="C1724" t="s">
        <v>35</v>
      </c>
      <c r="D1724" t="s">
        <v>1376</v>
      </c>
      <c r="E1724" t="s">
        <v>2387</v>
      </c>
      <c r="F1724" t="s">
        <v>2439</v>
      </c>
      <c r="I1724" t="s">
        <v>2446</v>
      </c>
      <c r="J1724" t="s">
        <v>2457</v>
      </c>
      <c r="K1724" t="s">
        <v>2569</v>
      </c>
      <c r="L1724" t="s">
        <v>2602</v>
      </c>
      <c r="M1724" t="s">
        <v>2641</v>
      </c>
    </row>
    <row r="1725" spans="1:14">
      <c r="A1725" s="1">
        <f>HYPERLINK("https://lsnyc.legalserver.org/matter/dynamic-profile/view/1875062","18-1875062")</f>
        <v>0</v>
      </c>
      <c r="B1725" t="s">
        <v>16</v>
      </c>
      <c r="C1725" t="s">
        <v>24</v>
      </c>
      <c r="D1725" t="s">
        <v>1377</v>
      </c>
      <c r="E1725" t="s">
        <v>2390</v>
      </c>
      <c r="F1725" t="s">
        <v>2439</v>
      </c>
      <c r="I1725" t="s">
        <v>2446</v>
      </c>
      <c r="J1725" t="s">
        <v>2489</v>
      </c>
      <c r="K1725" t="s">
        <v>2572</v>
      </c>
      <c r="L1725" t="s">
        <v>2601</v>
      </c>
      <c r="M1725" t="s">
        <v>2631</v>
      </c>
    </row>
    <row r="1726" spans="1:14">
      <c r="A1726" s="1">
        <f>HYPERLINK("https://lsnyc.legalserver.org/matter/dynamic-profile/view/1875044","18-1875044")</f>
        <v>0</v>
      </c>
      <c r="B1726" t="s">
        <v>16</v>
      </c>
      <c r="C1726" t="s">
        <v>24</v>
      </c>
      <c r="D1726" t="s">
        <v>1378</v>
      </c>
      <c r="E1726" t="s">
        <v>2390</v>
      </c>
      <c r="F1726" t="s">
        <v>2439</v>
      </c>
      <c r="I1726" t="s">
        <v>2446</v>
      </c>
      <c r="J1726" t="s">
        <v>2487</v>
      </c>
      <c r="K1726" t="s">
        <v>2572</v>
      </c>
      <c r="L1726" t="s">
        <v>2601</v>
      </c>
      <c r="M1726" t="s">
        <v>2631</v>
      </c>
    </row>
    <row r="1727" spans="1:14">
      <c r="A1727" s="1">
        <f>HYPERLINK("https://lsnyc.legalserver.org/matter/dynamic-profile/view/1874984","18-1874984")</f>
        <v>0</v>
      </c>
      <c r="B1727" t="s">
        <v>16</v>
      </c>
      <c r="C1727" t="s">
        <v>23</v>
      </c>
      <c r="D1727" t="s">
        <v>1379</v>
      </c>
      <c r="E1727" t="s">
        <v>2390</v>
      </c>
      <c r="F1727" t="s">
        <v>2437</v>
      </c>
      <c r="I1727" t="s">
        <v>2446</v>
      </c>
      <c r="J1727" t="s">
        <v>2467</v>
      </c>
      <c r="K1727" t="s">
        <v>2572</v>
      </c>
      <c r="L1727" t="s">
        <v>2604</v>
      </c>
      <c r="M1727" t="s">
        <v>2626</v>
      </c>
    </row>
    <row r="1728" spans="1:14">
      <c r="A1728" s="1">
        <f>HYPERLINK("https://lsnyc.legalserver.org/matter/dynamic-profile/view/1874967","18-1874967")</f>
        <v>0</v>
      </c>
      <c r="B1728" t="s">
        <v>14</v>
      </c>
      <c r="C1728" t="s">
        <v>20</v>
      </c>
      <c r="D1728" t="s">
        <v>1068</v>
      </c>
      <c r="E1728" t="s">
        <v>2397</v>
      </c>
      <c r="F1728" t="s">
        <v>2438</v>
      </c>
      <c r="I1728" t="s">
        <v>2446</v>
      </c>
      <c r="J1728" t="s">
        <v>2457</v>
      </c>
      <c r="K1728" t="s">
        <v>2569</v>
      </c>
      <c r="L1728" t="s">
        <v>2600</v>
      </c>
      <c r="M1728" t="s">
        <v>2616</v>
      </c>
    </row>
    <row r="1729" spans="1:14">
      <c r="A1729" s="1">
        <f>HYPERLINK("https://lsnyc.legalserver.org/matter/dynamic-profile/view/1875094","18-1875094")</f>
        <v>0</v>
      </c>
      <c r="B1729" t="s">
        <v>19</v>
      </c>
      <c r="C1729" t="s">
        <v>47</v>
      </c>
      <c r="D1729" t="s">
        <v>1380</v>
      </c>
      <c r="E1729" t="s">
        <v>2407</v>
      </c>
      <c r="F1729" t="s">
        <v>2437</v>
      </c>
      <c r="I1729" t="s">
        <v>2446</v>
      </c>
      <c r="J1729" t="s">
        <v>2448</v>
      </c>
      <c r="K1729" t="s">
        <v>2569</v>
      </c>
      <c r="L1729" t="s">
        <v>2600</v>
      </c>
      <c r="M1729" t="s">
        <v>2630</v>
      </c>
      <c r="N1729" t="s">
        <v>2648</v>
      </c>
    </row>
    <row r="1730" spans="1:14">
      <c r="A1730" s="1">
        <f>HYPERLINK("https://lsnyc.legalserver.org/matter/dynamic-profile/view/1874923","18-1874923")</f>
        <v>0</v>
      </c>
      <c r="B1730" t="s">
        <v>19</v>
      </c>
      <c r="C1730" t="s">
        <v>50</v>
      </c>
      <c r="D1730" t="s">
        <v>581</v>
      </c>
      <c r="E1730" t="s">
        <v>2375</v>
      </c>
      <c r="F1730" t="s">
        <v>2437</v>
      </c>
      <c r="I1730" t="s">
        <v>2446</v>
      </c>
      <c r="J1730" t="s">
        <v>2471</v>
      </c>
      <c r="K1730" t="s">
        <v>2571</v>
      </c>
      <c r="L1730" t="s">
        <v>2608</v>
      </c>
      <c r="M1730" t="s">
        <v>2617</v>
      </c>
    </row>
    <row r="1731" spans="1:14">
      <c r="A1731" s="1">
        <f>HYPERLINK("https://lsnyc.legalserver.org/matter/dynamic-profile/view/1874896","18-1874896")</f>
        <v>0</v>
      </c>
      <c r="B1731" t="s">
        <v>16</v>
      </c>
      <c r="C1731" t="s">
        <v>46</v>
      </c>
      <c r="D1731" t="s">
        <v>1381</v>
      </c>
      <c r="E1731" t="s">
        <v>2390</v>
      </c>
      <c r="F1731" t="s">
        <v>2437</v>
      </c>
      <c r="J1731" t="s">
        <v>2467</v>
      </c>
      <c r="K1731" t="s">
        <v>2572</v>
      </c>
      <c r="L1731" t="s">
        <v>2600</v>
      </c>
      <c r="M1731" t="s">
        <v>2619</v>
      </c>
    </row>
    <row r="1732" spans="1:14">
      <c r="A1732" s="1">
        <f>HYPERLINK("https://lsnyc.legalserver.org/matter/dynamic-profile/view/1874877","18-1874877")</f>
        <v>0</v>
      </c>
      <c r="B1732" t="s">
        <v>19</v>
      </c>
      <c r="C1732" t="s">
        <v>38</v>
      </c>
      <c r="D1732" t="s">
        <v>1331</v>
      </c>
      <c r="E1732" t="s">
        <v>2426</v>
      </c>
      <c r="F1732" t="s">
        <v>2437</v>
      </c>
      <c r="G1732" t="s">
        <v>2444</v>
      </c>
      <c r="I1732" t="s">
        <v>2446</v>
      </c>
      <c r="J1732" t="s">
        <v>2456</v>
      </c>
      <c r="K1732" t="s">
        <v>2572</v>
      </c>
      <c r="M1732" t="s">
        <v>2627</v>
      </c>
      <c r="N1732" t="s">
        <v>2648</v>
      </c>
    </row>
    <row r="1733" spans="1:14">
      <c r="A1733" s="1">
        <f>HYPERLINK("https://lsnyc.legalserver.org/matter/dynamic-profile/view/1874908","18-1874908")</f>
        <v>0</v>
      </c>
      <c r="B1733" t="s">
        <v>18</v>
      </c>
      <c r="C1733" t="s">
        <v>34</v>
      </c>
      <c r="D1733" t="s">
        <v>1382</v>
      </c>
      <c r="E1733" t="s">
        <v>2426</v>
      </c>
      <c r="F1733" t="s">
        <v>2438</v>
      </c>
      <c r="I1733" t="s">
        <v>2446</v>
      </c>
      <c r="J1733" t="s">
        <v>2456</v>
      </c>
      <c r="K1733" t="s">
        <v>2572</v>
      </c>
      <c r="M1733" t="s">
        <v>2627</v>
      </c>
    </row>
    <row r="1734" spans="1:14">
      <c r="A1734" s="1">
        <f>HYPERLINK("https://lsnyc.legalserver.org/matter/dynamic-profile/view/1874928","18-1874928")</f>
        <v>0</v>
      </c>
      <c r="B1734" t="s">
        <v>16</v>
      </c>
      <c r="C1734" t="s">
        <v>23</v>
      </c>
      <c r="D1734" t="s">
        <v>1383</v>
      </c>
      <c r="E1734" t="s">
        <v>2370</v>
      </c>
      <c r="F1734" t="s">
        <v>2437</v>
      </c>
      <c r="I1734" t="s">
        <v>2446</v>
      </c>
      <c r="J1734" t="s">
        <v>2457</v>
      </c>
      <c r="K1734" t="s">
        <v>2569</v>
      </c>
      <c r="M1734" t="s">
        <v>2638</v>
      </c>
    </row>
    <row r="1735" spans="1:14">
      <c r="A1735" s="1">
        <f>HYPERLINK("https://lsnyc.legalserver.org/matter/dynamic-profile/view/1874959","18-1874959")</f>
        <v>0</v>
      </c>
      <c r="B1735" t="s">
        <v>14</v>
      </c>
      <c r="C1735" t="s">
        <v>26</v>
      </c>
      <c r="D1735" t="s">
        <v>1384</v>
      </c>
      <c r="E1735" t="s">
        <v>2386</v>
      </c>
      <c r="F1735" t="s">
        <v>2437</v>
      </c>
      <c r="G1735" t="s">
        <v>2444</v>
      </c>
      <c r="J1735" t="s">
        <v>2452</v>
      </c>
      <c r="K1735" t="s">
        <v>2572</v>
      </c>
      <c r="M1735" t="s">
        <v>2627</v>
      </c>
    </row>
    <row r="1736" spans="1:14">
      <c r="A1736" s="1">
        <f>HYPERLINK("https://lsnyc.legalserver.org/matter/dynamic-profile/view/1874816","18-1874816")</f>
        <v>0</v>
      </c>
      <c r="B1736" t="s">
        <v>18</v>
      </c>
      <c r="C1736" t="s">
        <v>34</v>
      </c>
      <c r="D1736" t="s">
        <v>119</v>
      </c>
      <c r="E1736" t="s">
        <v>2376</v>
      </c>
      <c r="F1736" t="s">
        <v>2437</v>
      </c>
      <c r="I1736" t="s">
        <v>2446</v>
      </c>
      <c r="J1736" t="s">
        <v>2461</v>
      </c>
      <c r="K1736" t="s">
        <v>2574</v>
      </c>
      <c r="L1736" t="s">
        <v>2603</v>
      </c>
      <c r="M1736" t="s">
        <v>2618</v>
      </c>
    </row>
    <row r="1737" spans="1:14">
      <c r="A1737" s="1">
        <f>HYPERLINK("https://lsnyc.legalserver.org/matter/dynamic-profile/view/1874808","18-1874808")</f>
        <v>0</v>
      </c>
      <c r="B1737" t="s">
        <v>18</v>
      </c>
      <c r="C1737" t="s">
        <v>34</v>
      </c>
      <c r="D1737" t="s">
        <v>119</v>
      </c>
      <c r="E1737" t="s">
        <v>2375</v>
      </c>
      <c r="F1737" t="s">
        <v>2437</v>
      </c>
      <c r="I1737" t="s">
        <v>2446</v>
      </c>
      <c r="J1737" t="s">
        <v>2461</v>
      </c>
      <c r="K1737" t="s">
        <v>2574</v>
      </c>
      <c r="L1737" t="s">
        <v>2608</v>
      </c>
      <c r="M1737" t="s">
        <v>2617</v>
      </c>
    </row>
    <row r="1738" spans="1:14">
      <c r="A1738" s="1">
        <f>HYPERLINK("https://lsnyc.legalserver.org/matter/dynamic-profile/view/1874772","18-1874772")</f>
        <v>0</v>
      </c>
      <c r="B1738" t="s">
        <v>14</v>
      </c>
      <c r="C1738" t="s">
        <v>21</v>
      </c>
      <c r="D1738" t="s">
        <v>1385</v>
      </c>
      <c r="E1738" t="s">
        <v>2383</v>
      </c>
      <c r="F1738" t="s">
        <v>2437</v>
      </c>
      <c r="G1738" t="s">
        <v>2444</v>
      </c>
      <c r="I1738" t="s">
        <v>2446</v>
      </c>
      <c r="J1738" t="s">
        <v>2448</v>
      </c>
      <c r="K1738" t="s">
        <v>2569</v>
      </c>
      <c r="L1738" t="s">
        <v>2605</v>
      </c>
      <c r="M1738" t="s">
        <v>2624</v>
      </c>
      <c r="N1738" t="s">
        <v>2648</v>
      </c>
    </row>
    <row r="1739" spans="1:14">
      <c r="A1739" s="1">
        <f>HYPERLINK("https://lsnyc.legalserver.org/matter/dynamic-profile/view/1874786","18-1874786")</f>
        <v>0</v>
      </c>
      <c r="B1739" t="s">
        <v>16</v>
      </c>
      <c r="C1739" t="s">
        <v>23</v>
      </c>
      <c r="D1739" t="s">
        <v>1386</v>
      </c>
      <c r="E1739" t="s">
        <v>2390</v>
      </c>
      <c r="F1739" t="s">
        <v>2437</v>
      </c>
      <c r="I1739" t="s">
        <v>2446</v>
      </c>
      <c r="J1739" t="s">
        <v>2467</v>
      </c>
      <c r="K1739" t="s">
        <v>2572</v>
      </c>
      <c r="M1739" t="s">
        <v>2619</v>
      </c>
    </row>
    <row r="1740" spans="1:14">
      <c r="A1740" s="1">
        <f>HYPERLINK("https://lsnyc.legalserver.org/matter/dynamic-profile/view/1874804","18-1874804")</f>
        <v>0</v>
      </c>
      <c r="B1740" t="s">
        <v>16</v>
      </c>
      <c r="C1740" t="s">
        <v>23</v>
      </c>
      <c r="D1740" t="s">
        <v>1387</v>
      </c>
      <c r="E1740" t="s">
        <v>2387</v>
      </c>
      <c r="F1740" t="s">
        <v>2437</v>
      </c>
      <c r="I1740" t="s">
        <v>2446</v>
      </c>
      <c r="J1740" t="s">
        <v>2467</v>
      </c>
      <c r="K1740" t="s">
        <v>2572</v>
      </c>
      <c r="M1740" t="s">
        <v>2629</v>
      </c>
    </row>
    <row r="1741" spans="1:14">
      <c r="A1741" s="1">
        <f>HYPERLINK("https://lsnyc.legalserver.org/matter/dynamic-profile/view/1874677","18-1874677")</f>
        <v>0</v>
      </c>
      <c r="B1741" t="s">
        <v>19</v>
      </c>
      <c r="C1741" t="s">
        <v>50</v>
      </c>
      <c r="D1741" t="s">
        <v>1388</v>
      </c>
      <c r="E1741" t="s">
        <v>2385</v>
      </c>
      <c r="F1741" t="s">
        <v>2438</v>
      </c>
      <c r="I1741" t="s">
        <v>2446</v>
      </c>
      <c r="J1741" t="s">
        <v>2488</v>
      </c>
      <c r="K1741" t="s">
        <v>2569</v>
      </c>
      <c r="L1741" t="s">
        <v>2603</v>
      </c>
      <c r="M1741" t="s">
        <v>2616</v>
      </c>
    </row>
    <row r="1742" spans="1:14">
      <c r="A1742" s="1">
        <f>HYPERLINK("https://lsnyc.legalserver.org/matter/dynamic-profile/view/1874669","18-1874669")</f>
        <v>0</v>
      </c>
      <c r="B1742" t="s">
        <v>15</v>
      </c>
      <c r="C1742" t="s">
        <v>32</v>
      </c>
      <c r="D1742" t="s">
        <v>1389</v>
      </c>
      <c r="E1742" t="s">
        <v>2391</v>
      </c>
      <c r="F1742" t="s">
        <v>2439</v>
      </c>
      <c r="I1742" t="s">
        <v>2446</v>
      </c>
      <c r="J1742" t="s">
        <v>2455</v>
      </c>
      <c r="K1742" t="s">
        <v>2572</v>
      </c>
      <c r="M1742" t="s">
        <v>2631</v>
      </c>
    </row>
    <row r="1743" spans="1:14">
      <c r="A1743" s="1">
        <f>HYPERLINK("https://lsnyc.legalserver.org/matter/dynamic-profile/view/1874672","18-1874672")</f>
        <v>0</v>
      </c>
      <c r="B1743" t="s">
        <v>17</v>
      </c>
      <c r="C1743" t="s">
        <v>28</v>
      </c>
      <c r="D1743" t="s">
        <v>1390</v>
      </c>
      <c r="E1743" t="s">
        <v>2385</v>
      </c>
      <c r="F1743" t="s">
        <v>2438</v>
      </c>
      <c r="I1743" t="s">
        <v>2446</v>
      </c>
      <c r="J1743" t="s">
        <v>2471</v>
      </c>
      <c r="K1743" t="s">
        <v>2571</v>
      </c>
      <c r="L1743" t="s">
        <v>2600</v>
      </c>
      <c r="M1743" t="s">
        <v>2616</v>
      </c>
    </row>
    <row r="1744" spans="1:14">
      <c r="A1744" s="1">
        <f>HYPERLINK("https://lsnyc.legalserver.org/matter/dynamic-profile/view/1874682","18-1874682")</f>
        <v>0</v>
      </c>
      <c r="B1744" t="s">
        <v>17</v>
      </c>
      <c r="C1744" t="s">
        <v>28</v>
      </c>
      <c r="D1744" t="s">
        <v>620</v>
      </c>
      <c r="E1744" t="s">
        <v>2385</v>
      </c>
      <c r="F1744" t="s">
        <v>2438</v>
      </c>
      <c r="I1744" t="s">
        <v>2446</v>
      </c>
      <c r="J1744" t="s">
        <v>2471</v>
      </c>
      <c r="K1744" t="s">
        <v>2571</v>
      </c>
      <c r="L1744" t="s">
        <v>2600</v>
      </c>
      <c r="M1744" t="s">
        <v>2616</v>
      </c>
    </row>
    <row r="1745" spans="1:13">
      <c r="A1745" s="1">
        <f>HYPERLINK("https://lsnyc.legalserver.org/matter/dynamic-profile/view/1874685","18-1874685")</f>
        <v>0</v>
      </c>
      <c r="B1745" t="s">
        <v>16</v>
      </c>
      <c r="C1745" t="s">
        <v>23</v>
      </c>
      <c r="D1745" t="s">
        <v>1391</v>
      </c>
      <c r="E1745" t="s">
        <v>2386</v>
      </c>
      <c r="F1745" t="s">
        <v>2437</v>
      </c>
      <c r="I1745" t="s">
        <v>2446</v>
      </c>
      <c r="J1745" t="s">
        <v>2452</v>
      </c>
      <c r="K1745" t="s">
        <v>2572</v>
      </c>
      <c r="M1745" t="s">
        <v>2627</v>
      </c>
    </row>
    <row r="1746" spans="1:13">
      <c r="A1746" s="1">
        <f>HYPERLINK("https://lsnyc.legalserver.org/matter/dynamic-profile/view/1874701","18-1874701")</f>
        <v>0</v>
      </c>
      <c r="B1746" t="s">
        <v>16</v>
      </c>
      <c r="C1746" t="s">
        <v>23</v>
      </c>
      <c r="D1746" t="s">
        <v>1392</v>
      </c>
      <c r="E1746" t="s">
        <v>2375</v>
      </c>
      <c r="F1746" t="s">
        <v>2437</v>
      </c>
      <c r="I1746" t="s">
        <v>2446</v>
      </c>
      <c r="J1746" t="s">
        <v>2511</v>
      </c>
      <c r="K1746" t="s">
        <v>2582</v>
      </c>
      <c r="M1746" t="s">
        <v>2617</v>
      </c>
    </row>
    <row r="1747" spans="1:13">
      <c r="A1747" s="1">
        <f>HYPERLINK("https://lsnyc.legalserver.org/matter/dynamic-profile/view/1874607","18-1874607")</f>
        <v>0</v>
      </c>
      <c r="B1747" t="s">
        <v>18</v>
      </c>
      <c r="C1747" t="s">
        <v>35</v>
      </c>
      <c r="D1747" t="s">
        <v>1393</v>
      </c>
      <c r="E1747" t="s">
        <v>2419</v>
      </c>
      <c r="F1747" t="s">
        <v>2439</v>
      </c>
      <c r="I1747" t="s">
        <v>2446</v>
      </c>
      <c r="J1747" t="s">
        <v>2447</v>
      </c>
      <c r="K1747" t="s">
        <v>2569</v>
      </c>
      <c r="L1747" t="s">
        <v>2602</v>
      </c>
      <c r="M1747" t="s">
        <v>2631</v>
      </c>
    </row>
    <row r="1748" spans="1:13">
      <c r="A1748" s="1">
        <f>HYPERLINK("https://lsnyc.legalserver.org/matter/dynamic-profile/view/1874610","18-1874610")</f>
        <v>0</v>
      </c>
      <c r="B1748" t="s">
        <v>18</v>
      </c>
      <c r="C1748" t="s">
        <v>35</v>
      </c>
      <c r="D1748" t="s">
        <v>1394</v>
      </c>
      <c r="E1748" t="s">
        <v>2419</v>
      </c>
      <c r="F1748" t="s">
        <v>2439</v>
      </c>
      <c r="I1748" t="s">
        <v>2446</v>
      </c>
      <c r="J1748" t="s">
        <v>2447</v>
      </c>
      <c r="K1748" t="s">
        <v>2569</v>
      </c>
      <c r="L1748" t="s">
        <v>2602</v>
      </c>
      <c r="M1748" t="s">
        <v>2631</v>
      </c>
    </row>
    <row r="1749" spans="1:13">
      <c r="A1749" s="1">
        <f>HYPERLINK("https://lsnyc.legalserver.org/matter/dynamic-profile/view/1874559","18-1874559")</f>
        <v>0</v>
      </c>
      <c r="B1749" t="s">
        <v>18</v>
      </c>
      <c r="C1749" t="s">
        <v>27</v>
      </c>
      <c r="D1749" t="s">
        <v>186</v>
      </c>
      <c r="E1749" t="s">
        <v>2395</v>
      </c>
      <c r="F1749" t="s">
        <v>2440</v>
      </c>
      <c r="I1749" t="s">
        <v>2446</v>
      </c>
      <c r="J1749" t="s">
        <v>2472</v>
      </c>
      <c r="K1749" t="s">
        <v>2578</v>
      </c>
      <c r="L1749" t="s">
        <v>2602</v>
      </c>
      <c r="M1749" t="s">
        <v>2631</v>
      </c>
    </row>
    <row r="1750" spans="1:13">
      <c r="A1750" s="1">
        <f>HYPERLINK("https://lsnyc.legalserver.org/matter/dynamic-profile/view/1874657","18-1874657")</f>
        <v>0</v>
      </c>
      <c r="B1750" t="s">
        <v>19</v>
      </c>
      <c r="C1750" t="s">
        <v>50</v>
      </c>
      <c r="D1750" t="s">
        <v>1388</v>
      </c>
      <c r="E1750" t="s">
        <v>2374</v>
      </c>
      <c r="F1750" t="s">
        <v>2438</v>
      </c>
      <c r="I1750" t="s">
        <v>2446</v>
      </c>
      <c r="J1750" t="s">
        <v>2488</v>
      </c>
      <c r="K1750" t="s">
        <v>2569</v>
      </c>
      <c r="L1750" t="s">
        <v>2600</v>
      </c>
      <c r="M1750" t="s">
        <v>2616</v>
      </c>
    </row>
    <row r="1751" spans="1:13">
      <c r="A1751" s="1">
        <f>HYPERLINK("https://lsnyc.legalserver.org/matter/dynamic-profile/view/1874533","18-1874533")</f>
        <v>0</v>
      </c>
      <c r="B1751" t="s">
        <v>16</v>
      </c>
      <c r="C1751" t="s">
        <v>23</v>
      </c>
      <c r="D1751" t="s">
        <v>1395</v>
      </c>
      <c r="E1751" t="s">
        <v>2390</v>
      </c>
      <c r="F1751" t="s">
        <v>2437</v>
      </c>
      <c r="I1751" t="s">
        <v>2446</v>
      </c>
      <c r="J1751" t="s">
        <v>2448</v>
      </c>
      <c r="K1751" t="s">
        <v>2569</v>
      </c>
      <c r="M1751" t="s">
        <v>2619</v>
      </c>
    </row>
    <row r="1752" spans="1:13">
      <c r="A1752" s="1">
        <f>HYPERLINK("https://lsnyc.legalserver.org/matter/dynamic-profile/view/1874634","18-1874634")</f>
        <v>0</v>
      </c>
      <c r="B1752" t="s">
        <v>18</v>
      </c>
      <c r="C1752" t="s">
        <v>34</v>
      </c>
      <c r="D1752" t="s">
        <v>989</v>
      </c>
      <c r="E1752" t="s">
        <v>2385</v>
      </c>
      <c r="F1752" t="s">
        <v>2438</v>
      </c>
      <c r="J1752" t="s">
        <v>2449</v>
      </c>
      <c r="K1752" t="s">
        <v>2569</v>
      </c>
      <c r="M1752" t="s">
        <v>2616</v>
      </c>
    </row>
    <row r="1753" spans="1:13">
      <c r="A1753" s="1">
        <f>HYPERLINK("https://lsnyc.legalserver.org/matter/dynamic-profile/view/1874404","18-1874404")</f>
        <v>0</v>
      </c>
      <c r="B1753" t="s">
        <v>16</v>
      </c>
      <c r="C1753" t="s">
        <v>23</v>
      </c>
      <c r="D1753" t="s">
        <v>1396</v>
      </c>
      <c r="E1753" t="s">
        <v>2390</v>
      </c>
      <c r="F1753" t="s">
        <v>2437</v>
      </c>
      <c r="I1753" t="s">
        <v>2446</v>
      </c>
      <c r="J1753" t="s">
        <v>2452</v>
      </c>
      <c r="K1753" t="s">
        <v>2572</v>
      </c>
      <c r="M1753" t="s">
        <v>2619</v>
      </c>
    </row>
    <row r="1754" spans="1:13">
      <c r="A1754" s="1">
        <f>HYPERLINK("https://lsnyc.legalserver.org/matter/dynamic-profile/view/1874516","18-1874516")</f>
        <v>0</v>
      </c>
      <c r="B1754" t="s">
        <v>16</v>
      </c>
      <c r="C1754" t="s">
        <v>23</v>
      </c>
      <c r="D1754" t="s">
        <v>1123</v>
      </c>
      <c r="E1754" t="s">
        <v>2370</v>
      </c>
      <c r="F1754" t="s">
        <v>2437</v>
      </c>
      <c r="I1754" t="s">
        <v>2446</v>
      </c>
      <c r="J1754" t="s">
        <v>2455</v>
      </c>
      <c r="K1754" t="s">
        <v>2569</v>
      </c>
      <c r="M1754" t="s">
        <v>2638</v>
      </c>
    </row>
    <row r="1755" spans="1:13">
      <c r="A1755" s="1">
        <f>HYPERLINK("https://lsnyc.legalserver.org/matter/dynamic-profile/view/1875958","18-1875958")</f>
        <v>0</v>
      </c>
      <c r="B1755" t="s">
        <v>14</v>
      </c>
      <c r="C1755" t="s">
        <v>43</v>
      </c>
      <c r="D1755" t="s">
        <v>1397</v>
      </c>
      <c r="E1755" t="s">
        <v>2408</v>
      </c>
      <c r="F1755" t="s">
        <v>2437</v>
      </c>
      <c r="G1755" t="s">
        <v>2444</v>
      </c>
      <c r="I1755" t="s">
        <v>2446</v>
      </c>
      <c r="J1755" t="s">
        <v>2456</v>
      </c>
      <c r="K1755" t="s">
        <v>2572</v>
      </c>
      <c r="M1755" t="s">
        <v>2619</v>
      </c>
    </row>
    <row r="1756" spans="1:13">
      <c r="A1756" s="1">
        <f>HYPERLINK("https://lsnyc.legalserver.org/matter/dynamic-profile/view/1877669","18-1877669")</f>
        <v>0</v>
      </c>
      <c r="B1756" t="s">
        <v>18</v>
      </c>
      <c r="C1756" t="s">
        <v>34</v>
      </c>
      <c r="D1756" t="s">
        <v>1398</v>
      </c>
      <c r="E1756" t="s">
        <v>2393</v>
      </c>
      <c r="F1756" t="s">
        <v>2437</v>
      </c>
      <c r="I1756" t="s">
        <v>2446</v>
      </c>
      <c r="J1756" t="s">
        <v>2518</v>
      </c>
      <c r="K1756" t="s">
        <v>2582</v>
      </c>
      <c r="L1756" t="s">
        <v>2603</v>
      </c>
      <c r="M1756" t="s">
        <v>2637</v>
      </c>
    </row>
    <row r="1757" spans="1:13">
      <c r="A1757" s="1">
        <f>HYPERLINK("https://lsnyc.legalserver.org/matter/dynamic-profile/view/1877672","18-1877672")</f>
        <v>0</v>
      </c>
      <c r="B1757" t="s">
        <v>18</v>
      </c>
      <c r="C1757" t="s">
        <v>34</v>
      </c>
      <c r="D1757" t="s">
        <v>1399</v>
      </c>
      <c r="E1757" t="s">
        <v>2393</v>
      </c>
      <c r="F1757" t="s">
        <v>2437</v>
      </c>
      <c r="I1757" t="s">
        <v>2446</v>
      </c>
      <c r="J1757" t="s">
        <v>2518</v>
      </c>
      <c r="K1757" t="s">
        <v>2596</v>
      </c>
      <c r="L1757" t="s">
        <v>2603</v>
      </c>
      <c r="M1757" t="s">
        <v>2637</v>
      </c>
    </row>
    <row r="1758" spans="1:13">
      <c r="A1758" s="1">
        <f>HYPERLINK("https://lsnyc.legalserver.org/matter/dynamic-profile/view/1877674","18-1877674")</f>
        <v>0</v>
      </c>
      <c r="B1758" t="s">
        <v>18</v>
      </c>
      <c r="C1758" t="s">
        <v>34</v>
      </c>
      <c r="D1758" t="s">
        <v>1400</v>
      </c>
      <c r="E1758" t="s">
        <v>2393</v>
      </c>
      <c r="F1758" t="s">
        <v>2437</v>
      </c>
      <c r="I1758" t="s">
        <v>2446</v>
      </c>
      <c r="J1758" t="s">
        <v>2518</v>
      </c>
      <c r="K1758" t="s">
        <v>2582</v>
      </c>
      <c r="L1758" t="s">
        <v>2603</v>
      </c>
      <c r="M1758" t="s">
        <v>2637</v>
      </c>
    </row>
    <row r="1759" spans="1:13">
      <c r="A1759" s="1">
        <f>HYPERLINK("https://lsnyc.legalserver.org/matter/dynamic-profile/view/1874346","18-1874346")</f>
        <v>0</v>
      </c>
      <c r="B1759" t="s">
        <v>18</v>
      </c>
      <c r="C1759" t="s">
        <v>27</v>
      </c>
      <c r="D1759" t="s">
        <v>1401</v>
      </c>
      <c r="E1759" t="s">
        <v>2393</v>
      </c>
      <c r="F1759" t="s">
        <v>2437</v>
      </c>
      <c r="I1759" t="s">
        <v>2446</v>
      </c>
      <c r="J1759" t="s">
        <v>2545</v>
      </c>
      <c r="K1759" t="s">
        <v>2572</v>
      </c>
      <c r="L1759" t="s">
        <v>2603</v>
      </c>
      <c r="M1759" t="s">
        <v>2637</v>
      </c>
    </row>
    <row r="1760" spans="1:13">
      <c r="A1760" s="1">
        <f>HYPERLINK("https://lsnyc.legalserver.org/matter/dynamic-profile/view/1874268","18-1874268")</f>
        <v>0</v>
      </c>
      <c r="B1760" t="s">
        <v>14</v>
      </c>
      <c r="C1760" t="s">
        <v>20</v>
      </c>
      <c r="D1760" t="s">
        <v>1402</v>
      </c>
      <c r="E1760" t="s">
        <v>2427</v>
      </c>
      <c r="F1760" t="s">
        <v>2437</v>
      </c>
      <c r="I1760" t="s">
        <v>2446</v>
      </c>
      <c r="J1760" t="s">
        <v>2457</v>
      </c>
      <c r="K1760" t="s">
        <v>2569</v>
      </c>
      <c r="M1760" t="s">
        <v>2646</v>
      </c>
    </row>
    <row r="1761" spans="1:13">
      <c r="A1761" s="1">
        <f>HYPERLINK("https://lsnyc.legalserver.org/matter/dynamic-profile/view/1874331","18-1874331")</f>
        <v>0</v>
      </c>
      <c r="B1761" t="s">
        <v>16</v>
      </c>
      <c r="C1761" t="s">
        <v>23</v>
      </c>
      <c r="D1761" t="s">
        <v>1403</v>
      </c>
      <c r="E1761" t="s">
        <v>2375</v>
      </c>
      <c r="F1761" t="s">
        <v>2437</v>
      </c>
      <c r="I1761" t="s">
        <v>2446</v>
      </c>
      <c r="J1761" t="s">
        <v>2455</v>
      </c>
      <c r="K1761" t="s">
        <v>2569</v>
      </c>
      <c r="M1761" t="s">
        <v>2617</v>
      </c>
    </row>
    <row r="1762" spans="1:13">
      <c r="A1762" s="1">
        <f>HYPERLINK("https://lsnyc.legalserver.org/matter/dynamic-profile/view/1874364","18-1874364")</f>
        <v>0</v>
      </c>
      <c r="B1762" t="s">
        <v>16</v>
      </c>
      <c r="C1762" t="s">
        <v>23</v>
      </c>
      <c r="D1762" t="s">
        <v>1404</v>
      </c>
      <c r="E1762" t="s">
        <v>2390</v>
      </c>
      <c r="F1762" t="s">
        <v>2437</v>
      </c>
      <c r="I1762" t="s">
        <v>2446</v>
      </c>
      <c r="J1762" t="s">
        <v>2452</v>
      </c>
      <c r="K1762" t="s">
        <v>2572</v>
      </c>
      <c r="M1762" t="s">
        <v>2619</v>
      </c>
    </row>
    <row r="1763" spans="1:13">
      <c r="A1763" s="1">
        <f>HYPERLINK("https://lsnyc.legalserver.org/matter/dynamic-profile/view/1874367","18-1874367")</f>
        <v>0</v>
      </c>
      <c r="B1763" t="s">
        <v>15</v>
      </c>
      <c r="C1763" t="s">
        <v>32</v>
      </c>
      <c r="D1763" t="s">
        <v>1405</v>
      </c>
      <c r="E1763" t="s">
        <v>2387</v>
      </c>
      <c r="F1763" t="s">
        <v>2440</v>
      </c>
      <c r="J1763" t="s">
        <v>2447</v>
      </c>
      <c r="K1763" t="s">
        <v>2572</v>
      </c>
      <c r="M1763" t="s">
        <v>2641</v>
      </c>
    </row>
    <row r="1764" spans="1:13">
      <c r="A1764" s="1">
        <f>HYPERLINK("https://lsnyc.legalserver.org/matter/dynamic-profile/view/1874142","18-1874142")</f>
        <v>0</v>
      </c>
      <c r="B1764" t="s">
        <v>16</v>
      </c>
      <c r="C1764" t="s">
        <v>23</v>
      </c>
      <c r="D1764" t="s">
        <v>1406</v>
      </c>
      <c r="E1764" t="s">
        <v>2390</v>
      </c>
      <c r="F1764" t="s">
        <v>2439</v>
      </c>
      <c r="I1764" t="s">
        <v>2446</v>
      </c>
      <c r="J1764" t="s">
        <v>2448</v>
      </c>
      <c r="K1764" t="s">
        <v>2569</v>
      </c>
      <c r="L1764" t="s">
        <v>2601</v>
      </c>
      <c r="M1764" t="s">
        <v>2631</v>
      </c>
    </row>
    <row r="1765" spans="1:13">
      <c r="A1765" s="1">
        <f>HYPERLINK("https://lsnyc.legalserver.org/matter/dynamic-profile/view/1874250","18-1874250")</f>
        <v>0</v>
      </c>
      <c r="B1765" t="s">
        <v>16</v>
      </c>
      <c r="C1765" t="s">
        <v>46</v>
      </c>
      <c r="D1765" t="s">
        <v>1407</v>
      </c>
      <c r="E1765" t="s">
        <v>2375</v>
      </c>
      <c r="F1765" t="s">
        <v>2439</v>
      </c>
      <c r="I1765" t="s">
        <v>2446</v>
      </c>
      <c r="J1765" t="s">
        <v>2488</v>
      </c>
      <c r="K1765" t="s">
        <v>2569</v>
      </c>
      <c r="L1765" t="s">
        <v>2601</v>
      </c>
      <c r="M1765" t="s">
        <v>2631</v>
      </c>
    </row>
    <row r="1766" spans="1:13">
      <c r="A1766" s="1">
        <f>HYPERLINK("https://lsnyc.legalserver.org/matter/dynamic-profile/view/1874075","18-1874075")</f>
        <v>0</v>
      </c>
      <c r="B1766" t="s">
        <v>16</v>
      </c>
      <c r="C1766" t="s">
        <v>23</v>
      </c>
      <c r="D1766" t="s">
        <v>1408</v>
      </c>
      <c r="E1766" t="s">
        <v>2390</v>
      </c>
      <c r="F1766" t="s">
        <v>2439</v>
      </c>
      <c r="I1766" t="s">
        <v>2446</v>
      </c>
      <c r="J1766" t="s">
        <v>2450</v>
      </c>
      <c r="K1766" t="s">
        <v>2569</v>
      </c>
      <c r="L1766" t="s">
        <v>2601</v>
      </c>
      <c r="M1766" t="s">
        <v>2631</v>
      </c>
    </row>
    <row r="1767" spans="1:13">
      <c r="A1767" s="1">
        <f>HYPERLINK("https://lsnyc.legalserver.org/matter/dynamic-profile/view/1874042","18-1874042")</f>
        <v>0</v>
      </c>
      <c r="B1767" t="s">
        <v>16</v>
      </c>
      <c r="C1767" t="s">
        <v>23</v>
      </c>
      <c r="D1767" t="s">
        <v>1409</v>
      </c>
      <c r="E1767" t="s">
        <v>2390</v>
      </c>
      <c r="F1767" t="s">
        <v>2437</v>
      </c>
      <c r="I1767" t="s">
        <v>2446</v>
      </c>
      <c r="J1767" t="s">
        <v>2457</v>
      </c>
      <c r="K1767" t="s">
        <v>2569</v>
      </c>
      <c r="M1767" t="s">
        <v>2619</v>
      </c>
    </row>
    <row r="1768" spans="1:13">
      <c r="A1768" s="1">
        <f>HYPERLINK("https://lsnyc.legalserver.org/matter/dynamic-profile/view/1873932","18-1873932")</f>
        <v>0</v>
      </c>
      <c r="B1768" t="s">
        <v>16</v>
      </c>
      <c r="C1768" t="s">
        <v>23</v>
      </c>
      <c r="D1768" t="s">
        <v>1410</v>
      </c>
      <c r="E1768" t="s">
        <v>2390</v>
      </c>
      <c r="F1768" t="s">
        <v>2439</v>
      </c>
      <c r="I1768" t="s">
        <v>2446</v>
      </c>
      <c r="J1768" t="s">
        <v>2448</v>
      </c>
      <c r="K1768" t="s">
        <v>2569</v>
      </c>
      <c r="L1768" t="s">
        <v>2601</v>
      </c>
      <c r="M1768" t="s">
        <v>2631</v>
      </c>
    </row>
    <row r="1769" spans="1:13">
      <c r="A1769" s="1">
        <f>HYPERLINK("https://lsnyc.legalserver.org/matter/dynamic-profile/view/1873921","18-1873921")</f>
        <v>0</v>
      </c>
      <c r="B1769" t="s">
        <v>16</v>
      </c>
      <c r="C1769" t="s">
        <v>23</v>
      </c>
      <c r="D1769" t="s">
        <v>1411</v>
      </c>
      <c r="E1769" t="s">
        <v>2390</v>
      </c>
      <c r="F1769" t="s">
        <v>2439</v>
      </c>
      <c r="I1769" t="s">
        <v>2446</v>
      </c>
      <c r="J1769" t="s">
        <v>2450</v>
      </c>
      <c r="K1769" t="s">
        <v>2579</v>
      </c>
      <c r="L1769" t="s">
        <v>2601</v>
      </c>
      <c r="M1769" t="s">
        <v>2631</v>
      </c>
    </row>
    <row r="1770" spans="1:13">
      <c r="A1770" s="1">
        <f>HYPERLINK("https://lsnyc.legalserver.org/matter/dynamic-profile/view/1873864","18-1873864")</f>
        <v>0</v>
      </c>
      <c r="B1770" t="s">
        <v>16</v>
      </c>
      <c r="C1770" t="s">
        <v>23</v>
      </c>
      <c r="D1770" t="s">
        <v>1412</v>
      </c>
      <c r="E1770" t="s">
        <v>2390</v>
      </c>
      <c r="F1770" t="s">
        <v>2439</v>
      </c>
      <c r="I1770" t="s">
        <v>2446</v>
      </c>
      <c r="J1770" t="s">
        <v>2537</v>
      </c>
      <c r="K1770" t="s">
        <v>2594</v>
      </c>
      <c r="L1770" t="s">
        <v>2601</v>
      </c>
      <c r="M1770" t="s">
        <v>2631</v>
      </c>
    </row>
    <row r="1771" spans="1:13">
      <c r="A1771" s="1">
        <f>HYPERLINK("https://lsnyc.legalserver.org/matter/dynamic-profile/view/1873887","18-1873887")</f>
        <v>0</v>
      </c>
      <c r="B1771" t="s">
        <v>16</v>
      </c>
      <c r="C1771" t="s">
        <v>23</v>
      </c>
      <c r="D1771" t="s">
        <v>274</v>
      </c>
      <c r="E1771" t="s">
        <v>2375</v>
      </c>
      <c r="F1771" t="s">
        <v>2437</v>
      </c>
      <c r="I1771" t="s">
        <v>2446</v>
      </c>
      <c r="J1771" t="s">
        <v>2452</v>
      </c>
      <c r="K1771" t="s">
        <v>2572</v>
      </c>
      <c r="L1771" t="s">
        <v>2604</v>
      </c>
      <c r="M1771" t="s">
        <v>2626</v>
      </c>
    </row>
    <row r="1772" spans="1:13">
      <c r="A1772" s="1">
        <f>HYPERLINK("https://lsnyc.legalserver.org/matter/dynamic-profile/view/1873904","18-1873904")</f>
        <v>0</v>
      </c>
      <c r="B1772" t="s">
        <v>16</v>
      </c>
      <c r="C1772" t="s">
        <v>23</v>
      </c>
      <c r="D1772" t="s">
        <v>1413</v>
      </c>
      <c r="E1772" t="s">
        <v>2390</v>
      </c>
      <c r="F1772" t="s">
        <v>2437</v>
      </c>
      <c r="I1772" t="s">
        <v>2446</v>
      </c>
      <c r="J1772" t="s">
        <v>2448</v>
      </c>
      <c r="K1772" t="s">
        <v>2569</v>
      </c>
      <c r="M1772" t="s">
        <v>2626</v>
      </c>
    </row>
    <row r="1773" spans="1:13">
      <c r="A1773" s="1">
        <f>HYPERLINK("https://lsnyc.legalserver.org/matter/dynamic-profile/view/1873922","18-1873922")</f>
        <v>0</v>
      </c>
      <c r="B1773" t="s">
        <v>19</v>
      </c>
      <c r="C1773" t="s">
        <v>47</v>
      </c>
      <c r="D1773" t="s">
        <v>1414</v>
      </c>
      <c r="E1773" t="s">
        <v>2374</v>
      </c>
      <c r="F1773" t="s">
        <v>2438</v>
      </c>
      <c r="J1773" t="s">
        <v>2467</v>
      </c>
      <c r="K1773" t="s">
        <v>2572</v>
      </c>
      <c r="L1773" t="s">
        <v>2606</v>
      </c>
      <c r="M1773" t="s">
        <v>2626</v>
      </c>
    </row>
    <row r="1774" spans="1:13">
      <c r="A1774" s="1">
        <f>HYPERLINK("https://lsnyc.legalserver.org/matter/dynamic-profile/view/1873936","18-1873936")</f>
        <v>0</v>
      </c>
      <c r="B1774" t="s">
        <v>16</v>
      </c>
      <c r="C1774" t="s">
        <v>23</v>
      </c>
      <c r="D1774" t="s">
        <v>1415</v>
      </c>
      <c r="E1774" t="s">
        <v>2390</v>
      </c>
      <c r="F1774" t="s">
        <v>2437</v>
      </c>
      <c r="I1774" t="s">
        <v>2446</v>
      </c>
      <c r="J1774" t="s">
        <v>2457</v>
      </c>
      <c r="K1774" t="s">
        <v>2572</v>
      </c>
      <c r="M1774" t="s">
        <v>2626</v>
      </c>
    </row>
    <row r="1775" spans="1:13">
      <c r="A1775" s="1">
        <f>HYPERLINK("https://lsnyc.legalserver.org/matter/dynamic-profile/view/1873938","18-1873938")</f>
        <v>0</v>
      </c>
      <c r="B1775" t="s">
        <v>16</v>
      </c>
      <c r="C1775" t="s">
        <v>46</v>
      </c>
      <c r="D1775" t="s">
        <v>1416</v>
      </c>
      <c r="E1775" t="s">
        <v>2390</v>
      </c>
      <c r="F1775" t="s">
        <v>2437</v>
      </c>
      <c r="I1775" t="s">
        <v>2446</v>
      </c>
      <c r="J1775" t="s">
        <v>2479</v>
      </c>
      <c r="K1775" t="s">
        <v>2569</v>
      </c>
      <c r="L1775" t="s">
        <v>2600</v>
      </c>
      <c r="M1775" t="s">
        <v>2619</v>
      </c>
    </row>
    <row r="1776" spans="1:13">
      <c r="A1776" s="1">
        <f>HYPERLINK("https://lsnyc.legalserver.org/matter/dynamic-profile/view/1873941","18-1873941")</f>
        <v>0</v>
      </c>
      <c r="B1776" t="s">
        <v>16</v>
      </c>
      <c r="C1776" t="s">
        <v>46</v>
      </c>
      <c r="D1776" t="s">
        <v>1417</v>
      </c>
      <c r="E1776" t="s">
        <v>2390</v>
      </c>
      <c r="F1776" t="s">
        <v>2437</v>
      </c>
      <c r="I1776" t="s">
        <v>2446</v>
      </c>
      <c r="J1776" t="s">
        <v>2479</v>
      </c>
      <c r="K1776" t="s">
        <v>2569</v>
      </c>
      <c r="M1776" t="s">
        <v>2619</v>
      </c>
    </row>
    <row r="1777" spans="1:13">
      <c r="A1777" s="1">
        <f>HYPERLINK("https://lsnyc.legalserver.org/matter/dynamic-profile/view/1873970","18-1873970")</f>
        <v>0</v>
      </c>
      <c r="B1777" t="s">
        <v>16</v>
      </c>
      <c r="C1777" t="s">
        <v>23</v>
      </c>
      <c r="D1777" t="s">
        <v>1418</v>
      </c>
      <c r="E1777" t="s">
        <v>2375</v>
      </c>
      <c r="F1777" t="s">
        <v>2437</v>
      </c>
      <c r="I1777" t="s">
        <v>2446</v>
      </c>
      <c r="J1777" t="s">
        <v>2471</v>
      </c>
      <c r="K1777" t="s">
        <v>2571</v>
      </c>
      <c r="M1777" t="s">
        <v>2617</v>
      </c>
    </row>
    <row r="1778" spans="1:13">
      <c r="A1778" s="1">
        <f>HYPERLINK("https://lsnyc.legalserver.org/matter/dynamic-profile/view/1873820","18-1873820")</f>
        <v>0</v>
      </c>
      <c r="B1778" t="s">
        <v>16</v>
      </c>
      <c r="C1778" t="s">
        <v>23</v>
      </c>
      <c r="D1778" t="s">
        <v>1419</v>
      </c>
      <c r="E1778" t="s">
        <v>2387</v>
      </c>
      <c r="F1778" t="s">
        <v>2439</v>
      </c>
      <c r="I1778" t="s">
        <v>2446</v>
      </c>
      <c r="J1778" t="s">
        <v>2457</v>
      </c>
      <c r="K1778" t="s">
        <v>2569</v>
      </c>
      <c r="L1778" t="s">
        <v>2601</v>
      </c>
      <c r="M1778" t="s">
        <v>2641</v>
      </c>
    </row>
    <row r="1779" spans="1:13">
      <c r="A1779" s="1">
        <f>HYPERLINK("https://lsnyc.legalserver.org/matter/dynamic-profile/view/1873774","18-1873774")</f>
        <v>0</v>
      </c>
      <c r="B1779" t="s">
        <v>19</v>
      </c>
      <c r="C1779" t="s">
        <v>38</v>
      </c>
      <c r="D1779" t="s">
        <v>1420</v>
      </c>
      <c r="E1779" t="s">
        <v>2371</v>
      </c>
      <c r="G1779" t="s">
        <v>2444</v>
      </c>
      <c r="J1779" t="s">
        <v>2493</v>
      </c>
      <c r="K1779" t="s">
        <v>2572</v>
      </c>
      <c r="L1779" t="s">
        <v>2601</v>
      </c>
      <c r="M1779" t="s">
        <v>2636</v>
      </c>
    </row>
    <row r="1780" spans="1:13">
      <c r="A1780" s="1">
        <f>HYPERLINK("https://lsnyc.legalserver.org/matter/dynamic-profile/view/1873723","18-1873723")</f>
        <v>0</v>
      </c>
      <c r="B1780" t="s">
        <v>16</v>
      </c>
      <c r="C1780" t="s">
        <v>23</v>
      </c>
      <c r="D1780" t="s">
        <v>1421</v>
      </c>
      <c r="E1780" t="s">
        <v>2375</v>
      </c>
      <c r="F1780" t="s">
        <v>2437</v>
      </c>
      <c r="I1780" t="s">
        <v>2446</v>
      </c>
      <c r="J1780" t="s">
        <v>2452</v>
      </c>
      <c r="K1780" t="s">
        <v>2572</v>
      </c>
      <c r="M1780" t="s">
        <v>2617</v>
      </c>
    </row>
    <row r="1781" spans="1:13">
      <c r="A1781" s="1">
        <f>HYPERLINK("https://lsnyc.legalserver.org/matter/dynamic-profile/view/1873734","18-1873734")</f>
        <v>0</v>
      </c>
      <c r="B1781" t="s">
        <v>16</v>
      </c>
      <c r="C1781" t="s">
        <v>23</v>
      </c>
      <c r="D1781" t="s">
        <v>1422</v>
      </c>
      <c r="E1781" t="s">
        <v>2390</v>
      </c>
      <c r="F1781" t="s">
        <v>2437</v>
      </c>
      <c r="I1781" t="s">
        <v>2446</v>
      </c>
      <c r="J1781" t="s">
        <v>2448</v>
      </c>
      <c r="K1781" t="s">
        <v>2569</v>
      </c>
      <c r="M1781" t="s">
        <v>2619</v>
      </c>
    </row>
    <row r="1782" spans="1:13">
      <c r="A1782" s="1">
        <f>HYPERLINK("https://lsnyc.legalserver.org/matter/dynamic-profile/view/1873756","18-1873756")</f>
        <v>0</v>
      </c>
      <c r="B1782" t="s">
        <v>14</v>
      </c>
      <c r="C1782" t="s">
        <v>33</v>
      </c>
      <c r="D1782" t="s">
        <v>748</v>
      </c>
      <c r="E1782" t="s">
        <v>2375</v>
      </c>
      <c r="F1782" t="s">
        <v>2437</v>
      </c>
      <c r="I1782" t="s">
        <v>2446</v>
      </c>
      <c r="J1782" t="s">
        <v>2450</v>
      </c>
      <c r="K1782" t="s">
        <v>2569</v>
      </c>
      <c r="M1782" t="s">
        <v>2617</v>
      </c>
    </row>
    <row r="1783" spans="1:13">
      <c r="A1783" s="1">
        <f>HYPERLINK("https://lsnyc.legalserver.org/matter/dynamic-profile/view/1873681","18-1873681")</f>
        <v>0</v>
      </c>
      <c r="B1783" t="s">
        <v>14</v>
      </c>
      <c r="C1783" t="s">
        <v>69</v>
      </c>
      <c r="D1783" t="s">
        <v>1423</v>
      </c>
      <c r="F1783" t="s">
        <v>2439</v>
      </c>
      <c r="I1783" t="s">
        <v>2446</v>
      </c>
      <c r="J1783" t="s">
        <v>2450</v>
      </c>
      <c r="K1783" t="s">
        <v>2569</v>
      </c>
      <c r="L1783" t="s">
        <v>2601</v>
      </c>
      <c r="M1783" t="s">
        <v>2631</v>
      </c>
    </row>
    <row r="1784" spans="1:13">
      <c r="A1784" s="1">
        <f>HYPERLINK("https://lsnyc.legalserver.org/matter/dynamic-profile/view/1873654","18-1873654")</f>
        <v>0</v>
      </c>
      <c r="B1784" t="s">
        <v>16</v>
      </c>
      <c r="C1784" t="s">
        <v>24</v>
      </c>
      <c r="D1784" t="s">
        <v>1424</v>
      </c>
      <c r="E1784" t="s">
        <v>2390</v>
      </c>
      <c r="F1784" t="s">
        <v>2439</v>
      </c>
      <c r="I1784" t="s">
        <v>2446</v>
      </c>
      <c r="J1784" t="s">
        <v>2479</v>
      </c>
      <c r="K1784" t="s">
        <v>2569</v>
      </c>
      <c r="L1784" t="s">
        <v>2601</v>
      </c>
      <c r="M1784" t="s">
        <v>2631</v>
      </c>
    </row>
    <row r="1785" spans="1:13">
      <c r="A1785" s="1">
        <f>HYPERLINK("https://lsnyc.legalserver.org/matter/dynamic-profile/view/1873593","18-1873593")</f>
        <v>0</v>
      </c>
      <c r="B1785" t="s">
        <v>16</v>
      </c>
      <c r="C1785" t="s">
        <v>46</v>
      </c>
      <c r="D1785" t="s">
        <v>1425</v>
      </c>
      <c r="E1785" t="s">
        <v>2390</v>
      </c>
      <c r="F1785" t="s">
        <v>2437</v>
      </c>
      <c r="I1785" t="s">
        <v>2446</v>
      </c>
      <c r="J1785" t="s">
        <v>2450</v>
      </c>
      <c r="K1785" t="s">
        <v>2569</v>
      </c>
      <c r="M1785" t="s">
        <v>2619</v>
      </c>
    </row>
    <row r="1786" spans="1:13">
      <c r="A1786" s="1">
        <f>HYPERLINK("https://lsnyc.legalserver.org/matter/dynamic-profile/view/1873637","18-1873637")</f>
        <v>0</v>
      </c>
      <c r="B1786" t="s">
        <v>16</v>
      </c>
      <c r="C1786" t="s">
        <v>46</v>
      </c>
      <c r="D1786" t="s">
        <v>523</v>
      </c>
      <c r="E1786" t="s">
        <v>2390</v>
      </c>
      <c r="F1786" t="s">
        <v>2437</v>
      </c>
      <c r="I1786" t="s">
        <v>2446</v>
      </c>
      <c r="J1786" t="s">
        <v>2447</v>
      </c>
      <c r="K1786" t="s">
        <v>2569</v>
      </c>
      <c r="L1786" t="s">
        <v>2600</v>
      </c>
      <c r="M1786" t="s">
        <v>2619</v>
      </c>
    </row>
    <row r="1787" spans="1:13">
      <c r="A1787" s="1">
        <f>HYPERLINK("https://lsnyc.legalserver.org/matter/dynamic-profile/view/1873684","18-1873684")</f>
        <v>0</v>
      </c>
      <c r="B1787" t="s">
        <v>19</v>
      </c>
      <c r="C1787" t="s">
        <v>48</v>
      </c>
      <c r="D1787" t="s">
        <v>1426</v>
      </c>
      <c r="E1787" t="s">
        <v>2374</v>
      </c>
      <c r="F1787" t="s">
        <v>2438</v>
      </c>
      <c r="I1787" t="s">
        <v>2446</v>
      </c>
      <c r="J1787" t="s">
        <v>2488</v>
      </c>
      <c r="K1787" t="s">
        <v>2569</v>
      </c>
      <c r="M1787" t="s">
        <v>2616</v>
      </c>
    </row>
    <row r="1788" spans="1:13">
      <c r="A1788" s="1">
        <f>HYPERLINK("https://lsnyc.legalserver.org/matter/dynamic-profile/view/1873686","18-1873686")</f>
        <v>0</v>
      </c>
      <c r="B1788" t="s">
        <v>19</v>
      </c>
      <c r="C1788" t="s">
        <v>48</v>
      </c>
      <c r="D1788" t="s">
        <v>1426</v>
      </c>
      <c r="E1788" t="s">
        <v>2385</v>
      </c>
      <c r="F1788" t="s">
        <v>2438</v>
      </c>
      <c r="I1788" t="s">
        <v>2446</v>
      </c>
      <c r="J1788" t="s">
        <v>2488</v>
      </c>
      <c r="K1788" t="s">
        <v>2569</v>
      </c>
      <c r="M1788" t="s">
        <v>2616</v>
      </c>
    </row>
    <row r="1789" spans="1:13">
      <c r="A1789" s="1">
        <f>HYPERLINK("https://lsnyc.legalserver.org/matter/dynamic-profile/view/1873987","18-1873987")</f>
        <v>0</v>
      </c>
      <c r="B1789" t="s">
        <v>17</v>
      </c>
      <c r="C1789" t="s">
        <v>36</v>
      </c>
      <c r="D1789" t="s">
        <v>821</v>
      </c>
      <c r="E1789" t="s">
        <v>2385</v>
      </c>
      <c r="F1789" t="s">
        <v>2438</v>
      </c>
      <c r="I1789" t="s">
        <v>2446</v>
      </c>
      <c r="J1789" t="s">
        <v>2449</v>
      </c>
      <c r="K1789" t="s">
        <v>2569</v>
      </c>
      <c r="M1789" t="s">
        <v>2616</v>
      </c>
    </row>
    <row r="1790" spans="1:13">
      <c r="A1790" s="1">
        <f>HYPERLINK("https://lsnyc.legalserver.org/matter/dynamic-profile/view/1873988","18-1873988")</f>
        <v>0</v>
      </c>
      <c r="B1790" t="s">
        <v>17</v>
      </c>
      <c r="C1790" t="s">
        <v>36</v>
      </c>
      <c r="D1790" t="s">
        <v>1427</v>
      </c>
      <c r="E1790" t="s">
        <v>2385</v>
      </c>
      <c r="F1790" t="s">
        <v>2438</v>
      </c>
      <c r="I1790" t="s">
        <v>2446</v>
      </c>
      <c r="J1790" t="s">
        <v>2449</v>
      </c>
      <c r="K1790" t="s">
        <v>2569</v>
      </c>
      <c r="M1790" t="s">
        <v>2616</v>
      </c>
    </row>
    <row r="1791" spans="1:13">
      <c r="A1791" s="1">
        <f>HYPERLINK("https://lsnyc.legalserver.org/matter/dynamic-profile/view/1873499","18-1873499")</f>
        <v>0</v>
      </c>
      <c r="B1791" t="s">
        <v>16</v>
      </c>
      <c r="C1791" t="s">
        <v>23</v>
      </c>
      <c r="D1791" t="s">
        <v>1428</v>
      </c>
      <c r="E1791" t="s">
        <v>2390</v>
      </c>
      <c r="F1791" t="s">
        <v>2439</v>
      </c>
      <c r="I1791" t="s">
        <v>2446</v>
      </c>
      <c r="J1791" t="s">
        <v>2518</v>
      </c>
      <c r="K1791" t="s">
        <v>2572</v>
      </c>
      <c r="L1791" t="s">
        <v>2601</v>
      </c>
      <c r="M1791" t="s">
        <v>2631</v>
      </c>
    </row>
    <row r="1792" spans="1:13">
      <c r="A1792" s="1">
        <f>HYPERLINK("https://lsnyc.legalserver.org/matter/dynamic-profile/view/1873524","18-1873524")</f>
        <v>0</v>
      </c>
      <c r="B1792" t="s">
        <v>16</v>
      </c>
      <c r="C1792" t="s">
        <v>24</v>
      </c>
      <c r="D1792" t="s">
        <v>1429</v>
      </c>
      <c r="E1792" t="s">
        <v>2390</v>
      </c>
      <c r="F1792" t="s">
        <v>2439</v>
      </c>
      <c r="I1792" t="s">
        <v>2446</v>
      </c>
      <c r="J1792" t="s">
        <v>2490</v>
      </c>
      <c r="K1792" t="s">
        <v>2572</v>
      </c>
      <c r="L1792" t="s">
        <v>2601</v>
      </c>
      <c r="M1792" t="s">
        <v>2631</v>
      </c>
    </row>
    <row r="1793" spans="1:13">
      <c r="A1793" s="1">
        <f>HYPERLINK("https://lsnyc.legalserver.org/matter/dynamic-profile/view/1871302","18-1871302")</f>
        <v>0</v>
      </c>
      <c r="B1793" t="s">
        <v>17</v>
      </c>
      <c r="C1793" t="s">
        <v>71</v>
      </c>
      <c r="D1793" t="s">
        <v>995</v>
      </c>
      <c r="E1793" t="s">
        <v>2373</v>
      </c>
      <c r="F1793" t="s">
        <v>2441</v>
      </c>
      <c r="I1793" t="s">
        <v>2446</v>
      </c>
      <c r="J1793" t="s">
        <v>2465</v>
      </c>
      <c r="K1793" t="s">
        <v>2569</v>
      </c>
      <c r="L1793" t="s">
        <v>2609</v>
      </c>
      <c r="M1793" t="s">
        <v>2615</v>
      </c>
    </row>
    <row r="1794" spans="1:13">
      <c r="A1794" s="1">
        <f>HYPERLINK("https://lsnyc.legalserver.org/matter/dynamic-profile/view/1873517","18-1873517")</f>
        <v>0</v>
      </c>
      <c r="B1794" t="s">
        <v>18</v>
      </c>
      <c r="C1794" t="s">
        <v>27</v>
      </c>
      <c r="D1794" t="s">
        <v>1430</v>
      </c>
      <c r="E1794" t="s">
        <v>2393</v>
      </c>
      <c r="F1794" t="s">
        <v>2437</v>
      </c>
      <c r="I1794" t="s">
        <v>2446</v>
      </c>
      <c r="J1794" t="s">
        <v>2518</v>
      </c>
      <c r="K1794" t="s">
        <v>2572</v>
      </c>
      <c r="L1794" t="s">
        <v>2603</v>
      </c>
      <c r="M1794" t="s">
        <v>2637</v>
      </c>
    </row>
    <row r="1795" spans="1:13">
      <c r="A1795" s="1">
        <f>HYPERLINK("https://lsnyc.legalserver.org/matter/dynamic-profile/view/1873527","18-1873527")</f>
        <v>0</v>
      </c>
      <c r="B1795" t="s">
        <v>18</v>
      </c>
      <c r="C1795" t="s">
        <v>27</v>
      </c>
      <c r="D1795" t="s">
        <v>384</v>
      </c>
      <c r="E1795" t="s">
        <v>2393</v>
      </c>
      <c r="F1795" t="s">
        <v>2437</v>
      </c>
      <c r="I1795" t="s">
        <v>2446</v>
      </c>
      <c r="J1795" t="s">
        <v>2448</v>
      </c>
      <c r="K1795" t="s">
        <v>2569</v>
      </c>
      <c r="L1795" t="s">
        <v>2603</v>
      </c>
      <c r="M1795" t="s">
        <v>2637</v>
      </c>
    </row>
    <row r="1796" spans="1:13">
      <c r="A1796" s="1">
        <f>HYPERLINK("https://lsnyc.legalserver.org/matter/dynamic-profile/view/1873496","18-1873496")</f>
        <v>0</v>
      </c>
      <c r="B1796" t="s">
        <v>19</v>
      </c>
      <c r="C1796" t="s">
        <v>62</v>
      </c>
      <c r="D1796" t="s">
        <v>1431</v>
      </c>
      <c r="E1796" t="s">
        <v>2375</v>
      </c>
      <c r="F1796" t="s">
        <v>2437</v>
      </c>
      <c r="I1796" t="s">
        <v>2446</v>
      </c>
      <c r="J1796" t="s">
        <v>2483</v>
      </c>
      <c r="K1796" t="s">
        <v>2571</v>
      </c>
      <c r="L1796" t="s">
        <v>2600</v>
      </c>
      <c r="M1796" t="s">
        <v>2626</v>
      </c>
    </row>
    <row r="1797" spans="1:13">
      <c r="A1797" s="1">
        <f>HYPERLINK("https://lsnyc.legalserver.org/matter/dynamic-profile/view/1868371","18-1868371")</f>
        <v>0</v>
      </c>
      <c r="B1797" t="s">
        <v>17</v>
      </c>
      <c r="C1797" t="s">
        <v>42</v>
      </c>
      <c r="D1797" t="s">
        <v>808</v>
      </c>
      <c r="E1797" t="s">
        <v>2374</v>
      </c>
      <c r="F1797" t="s">
        <v>2438</v>
      </c>
      <c r="I1797" t="s">
        <v>2446</v>
      </c>
      <c r="J1797" t="s">
        <v>2465</v>
      </c>
      <c r="K1797" t="s">
        <v>2569</v>
      </c>
      <c r="M1797" t="s">
        <v>2616</v>
      </c>
    </row>
    <row r="1798" spans="1:13">
      <c r="A1798" s="1">
        <f>HYPERLINK("https://lsnyc.legalserver.org/matter/dynamic-profile/view/1873490","18-1873490")</f>
        <v>0</v>
      </c>
      <c r="B1798" t="s">
        <v>14</v>
      </c>
      <c r="C1798" t="s">
        <v>33</v>
      </c>
      <c r="D1798" t="s">
        <v>1432</v>
      </c>
      <c r="E1798" t="s">
        <v>2403</v>
      </c>
      <c r="F1798" t="s">
        <v>2441</v>
      </c>
      <c r="G1798" t="s">
        <v>2444</v>
      </c>
      <c r="I1798" t="s">
        <v>2446</v>
      </c>
      <c r="J1798" t="s">
        <v>2450</v>
      </c>
      <c r="K1798" t="s">
        <v>2569</v>
      </c>
      <c r="M1798" t="s">
        <v>2639</v>
      </c>
    </row>
    <row r="1799" spans="1:13">
      <c r="A1799" s="1">
        <f>HYPERLINK("https://lsnyc.legalserver.org/matter/dynamic-profile/view/1869287","18-1869287")</f>
        <v>0</v>
      </c>
      <c r="B1799" t="s">
        <v>17</v>
      </c>
      <c r="C1799" t="s">
        <v>28</v>
      </c>
      <c r="D1799" t="s">
        <v>1433</v>
      </c>
      <c r="E1799" t="s">
        <v>2385</v>
      </c>
      <c r="F1799" t="s">
        <v>2439</v>
      </c>
      <c r="I1799" t="s">
        <v>2446</v>
      </c>
      <c r="J1799" t="s">
        <v>2498</v>
      </c>
      <c r="K1799" t="s">
        <v>2586</v>
      </c>
      <c r="L1799" t="s">
        <v>2601</v>
      </c>
      <c r="M1799" t="s">
        <v>2631</v>
      </c>
    </row>
    <row r="1800" spans="1:13">
      <c r="A1800" s="1">
        <f>HYPERLINK("https://lsnyc.legalserver.org/matter/dynamic-profile/view/1870593","18-1870593")</f>
        <v>0</v>
      </c>
      <c r="B1800" t="s">
        <v>17</v>
      </c>
      <c r="C1800" t="s">
        <v>28</v>
      </c>
      <c r="D1800" t="s">
        <v>1434</v>
      </c>
      <c r="E1800" t="s">
        <v>2385</v>
      </c>
      <c r="F1800" t="s">
        <v>2438</v>
      </c>
      <c r="I1800" t="s">
        <v>2446</v>
      </c>
      <c r="J1800" t="s">
        <v>2450</v>
      </c>
      <c r="K1800" t="s">
        <v>2569</v>
      </c>
      <c r="M1800" t="s">
        <v>2616</v>
      </c>
    </row>
    <row r="1801" spans="1:13">
      <c r="A1801" s="1">
        <f>HYPERLINK("https://lsnyc.legalserver.org/matter/dynamic-profile/view/1871236","18-1871236")</f>
        <v>0</v>
      </c>
      <c r="B1801" t="s">
        <v>17</v>
      </c>
      <c r="C1801" t="s">
        <v>36</v>
      </c>
      <c r="D1801" t="s">
        <v>1435</v>
      </c>
      <c r="E1801" t="s">
        <v>2385</v>
      </c>
      <c r="F1801" t="s">
        <v>2438</v>
      </c>
      <c r="I1801" t="s">
        <v>2446</v>
      </c>
      <c r="J1801" t="s">
        <v>2465</v>
      </c>
      <c r="L1801" t="s">
        <v>2600</v>
      </c>
      <c r="M1801" t="s">
        <v>2616</v>
      </c>
    </row>
    <row r="1802" spans="1:13">
      <c r="A1802" s="1">
        <f>HYPERLINK("https://lsnyc.legalserver.org/matter/dynamic-profile/view/1873387","18-1873387")</f>
        <v>0</v>
      </c>
      <c r="B1802" t="s">
        <v>16</v>
      </c>
      <c r="C1802" t="s">
        <v>46</v>
      </c>
      <c r="D1802" t="s">
        <v>1436</v>
      </c>
      <c r="E1802" t="s">
        <v>2387</v>
      </c>
      <c r="F1802" t="s">
        <v>2437</v>
      </c>
      <c r="I1802" t="s">
        <v>2446</v>
      </c>
      <c r="J1802" t="s">
        <v>2448</v>
      </c>
      <c r="K1802" t="s">
        <v>2569</v>
      </c>
      <c r="L1802" t="s">
        <v>2600</v>
      </c>
      <c r="M1802" t="s">
        <v>2629</v>
      </c>
    </row>
    <row r="1803" spans="1:13">
      <c r="A1803" s="1">
        <f>HYPERLINK("https://lsnyc.legalserver.org/matter/dynamic-profile/view/1873397","18-1873397")</f>
        <v>0</v>
      </c>
      <c r="B1803" t="s">
        <v>18</v>
      </c>
      <c r="C1803" t="s">
        <v>34</v>
      </c>
      <c r="D1803" t="s">
        <v>948</v>
      </c>
      <c r="E1803" t="s">
        <v>2374</v>
      </c>
      <c r="F1803" t="s">
        <v>2438</v>
      </c>
      <c r="J1803" t="s">
        <v>2465</v>
      </c>
      <c r="K1803" t="s">
        <v>2569</v>
      </c>
      <c r="M1803" t="s">
        <v>2616</v>
      </c>
    </row>
    <row r="1804" spans="1:13">
      <c r="A1804" s="1">
        <f>HYPERLINK("https://lsnyc.legalserver.org/matter/dynamic-profile/view/1873407","18-1873407")</f>
        <v>0</v>
      </c>
      <c r="B1804" t="s">
        <v>18</v>
      </c>
      <c r="C1804" t="s">
        <v>34</v>
      </c>
      <c r="D1804" t="s">
        <v>949</v>
      </c>
      <c r="E1804" t="s">
        <v>2374</v>
      </c>
      <c r="F1804" t="s">
        <v>2438</v>
      </c>
      <c r="J1804" t="s">
        <v>2465</v>
      </c>
      <c r="K1804" t="s">
        <v>2569</v>
      </c>
      <c r="M1804" t="s">
        <v>2616</v>
      </c>
    </row>
    <row r="1805" spans="1:13">
      <c r="A1805" s="1">
        <f>HYPERLINK("https://lsnyc.legalserver.org/matter/dynamic-profile/view/1873185","18-1873185")</f>
        <v>0</v>
      </c>
      <c r="B1805" t="s">
        <v>18</v>
      </c>
      <c r="C1805" t="s">
        <v>27</v>
      </c>
      <c r="D1805" t="s">
        <v>555</v>
      </c>
      <c r="E1805" t="s">
        <v>2375</v>
      </c>
      <c r="F1805" t="s">
        <v>2439</v>
      </c>
      <c r="I1805" t="s">
        <v>2446</v>
      </c>
      <c r="J1805" t="s">
        <v>2488</v>
      </c>
      <c r="K1805" t="s">
        <v>2569</v>
      </c>
      <c r="L1805" t="s">
        <v>2602</v>
      </c>
      <c r="M1805" t="s">
        <v>2631</v>
      </c>
    </row>
    <row r="1806" spans="1:13">
      <c r="A1806" s="1">
        <f>HYPERLINK("https://lsnyc.legalserver.org/matter/dynamic-profile/view/1873144","18-1873144")</f>
        <v>0</v>
      </c>
      <c r="B1806" t="s">
        <v>18</v>
      </c>
      <c r="C1806" t="s">
        <v>27</v>
      </c>
      <c r="D1806" t="s">
        <v>1044</v>
      </c>
      <c r="E1806" t="s">
        <v>2386</v>
      </c>
      <c r="F1806" t="s">
        <v>2437</v>
      </c>
      <c r="I1806" t="s">
        <v>2446</v>
      </c>
      <c r="J1806" t="s">
        <v>2461</v>
      </c>
      <c r="K1806" t="s">
        <v>2572</v>
      </c>
      <c r="L1806" t="s">
        <v>2603</v>
      </c>
      <c r="M1806" t="s">
        <v>2627</v>
      </c>
    </row>
    <row r="1807" spans="1:13">
      <c r="A1807" s="1">
        <f>HYPERLINK("https://lsnyc.legalserver.org/matter/dynamic-profile/view/1873176","18-1873176")</f>
        <v>0</v>
      </c>
      <c r="B1807" t="s">
        <v>16</v>
      </c>
      <c r="C1807" t="s">
        <v>23</v>
      </c>
      <c r="D1807" t="s">
        <v>1437</v>
      </c>
      <c r="E1807" t="s">
        <v>2390</v>
      </c>
      <c r="F1807" t="s">
        <v>2437</v>
      </c>
      <c r="I1807" t="s">
        <v>2446</v>
      </c>
      <c r="J1807" t="s">
        <v>2522</v>
      </c>
      <c r="K1807" t="s">
        <v>2578</v>
      </c>
      <c r="M1807" t="s">
        <v>2619</v>
      </c>
    </row>
    <row r="1808" spans="1:13">
      <c r="A1808" s="1">
        <f>HYPERLINK("https://lsnyc.legalserver.org/matter/dynamic-profile/view/1873233","18-1873233")</f>
        <v>0</v>
      </c>
      <c r="B1808" t="s">
        <v>15</v>
      </c>
      <c r="C1808" t="s">
        <v>37</v>
      </c>
      <c r="D1808" t="s">
        <v>1018</v>
      </c>
      <c r="E1808" t="s">
        <v>2418</v>
      </c>
      <c r="F1808" t="s">
        <v>2437</v>
      </c>
      <c r="I1808" t="s">
        <v>2446</v>
      </c>
      <c r="J1808" t="s">
        <v>2457</v>
      </c>
      <c r="K1808" t="s">
        <v>2569</v>
      </c>
      <c r="L1808" t="s">
        <v>2600</v>
      </c>
      <c r="M1808" t="s">
        <v>2626</v>
      </c>
    </row>
    <row r="1809" spans="1:13">
      <c r="A1809" s="1">
        <f>HYPERLINK("https://lsnyc.legalserver.org/matter/dynamic-profile/view/1873072","18-1873072")</f>
        <v>0</v>
      </c>
      <c r="B1809" t="s">
        <v>15</v>
      </c>
      <c r="C1809" t="s">
        <v>37</v>
      </c>
      <c r="D1809" t="s">
        <v>1438</v>
      </c>
      <c r="E1809" t="s">
        <v>2376</v>
      </c>
      <c r="F1809" t="s">
        <v>2437</v>
      </c>
      <c r="I1809" t="s">
        <v>2446</v>
      </c>
      <c r="J1809" t="s">
        <v>2488</v>
      </c>
      <c r="K1809" t="s">
        <v>2569</v>
      </c>
      <c r="L1809" t="s">
        <v>2604</v>
      </c>
      <c r="M1809" t="s">
        <v>2618</v>
      </c>
    </row>
    <row r="1810" spans="1:13">
      <c r="A1810" s="1">
        <f>HYPERLINK("https://lsnyc.legalserver.org/matter/dynamic-profile/view/1873104","18-1873104")</f>
        <v>0</v>
      </c>
      <c r="B1810" t="s">
        <v>19</v>
      </c>
      <c r="C1810" t="s">
        <v>62</v>
      </c>
      <c r="D1810" t="s">
        <v>1439</v>
      </c>
      <c r="E1810" t="s">
        <v>2376</v>
      </c>
      <c r="F1810" t="s">
        <v>2437</v>
      </c>
      <c r="I1810" t="s">
        <v>2446</v>
      </c>
      <c r="J1810" t="s">
        <v>2453</v>
      </c>
      <c r="K1810" t="s">
        <v>2572</v>
      </c>
      <c r="L1810" t="s">
        <v>2603</v>
      </c>
      <c r="M1810" t="s">
        <v>2626</v>
      </c>
    </row>
    <row r="1811" spans="1:13">
      <c r="A1811" s="1">
        <f>HYPERLINK("https://lsnyc.legalserver.org/matter/dynamic-profile/view/1872591","18-1872591")</f>
        <v>0</v>
      </c>
      <c r="B1811" t="s">
        <v>15</v>
      </c>
      <c r="C1811" t="s">
        <v>49</v>
      </c>
      <c r="D1811" t="s">
        <v>1440</v>
      </c>
      <c r="E1811" t="s">
        <v>2390</v>
      </c>
      <c r="F1811" t="s">
        <v>2437</v>
      </c>
      <c r="J1811" t="s">
        <v>2448</v>
      </c>
      <c r="K1811" t="s">
        <v>2572</v>
      </c>
      <c r="L1811" t="s">
        <v>2600</v>
      </c>
      <c r="M1811" t="s">
        <v>2619</v>
      </c>
    </row>
    <row r="1812" spans="1:13">
      <c r="A1812" s="1">
        <f>HYPERLINK("https://lsnyc.legalserver.org/matter/dynamic-profile/view/1873053","18-1873053")</f>
        <v>0</v>
      </c>
      <c r="B1812" t="s">
        <v>19</v>
      </c>
      <c r="C1812" t="s">
        <v>47</v>
      </c>
      <c r="D1812" t="s">
        <v>790</v>
      </c>
      <c r="E1812" t="s">
        <v>2418</v>
      </c>
      <c r="F1812" t="s">
        <v>2437</v>
      </c>
      <c r="J1812" t="s">
        <v>2476</v>
      </c>
      <c r="K1812" t="s">
        <v>2572</v>
      </c>
      <c r="L1812" t="s">
        <v>2605</v>
      </c>
      <c r="M1812" t="s">
        <v>2617</v>
      </c>
    </row>
    <row r="1813" spans="1:13">
      <c r="A1813" s="1">
        <f>HYPERLINK("https://lsnyc.legalserver.org/matter/dynamic-profile/view/1873055","18-1873055")</f>
        <v>0</v>
      </c>
      <c r="B1813" t="s">
        <v>19</v>
      </c>
      <c r="C1813" t="s">
        <v>47</v>
      </c>
      <c r="D1813" t="s">
        <v>790</v>
      </c>
      <c r="E1813" t="s">
        <v>2418</v>
      </c>
      <c r="F1813" t="s">
        <v>2437</v>
      </c>
      <c r="J1813" t="s">
        <v>2476</v>
      </c>
      <c r="K1813" t="s">
        <v>2572</v>
      </c>
      <c r="L1813" t="s">
        <v>2605</v>
      </c>
      <c r="M1813" t="s">
        <v>2617</v>
      </c>
    </row>
    <row r="1814" spans="1:13">
      <c r="A1814" s="1">
        <f>HYPERLINK("https://lsnyc.legalserver.org/matter/dynamic-profile/view/1873080","18-1873080")</f>
        <v>0</v>
      </c>
      <c r="B1814" t="s">
        <v>15</v>
      </c>
      <c r="C1814" t="s">
        <v>49</v>
      </c>
      <c r="D1814" t="s">
        <v>1441</v>
      </c>
      <c r="E1814" t="s">
        <v>2381</v>
      </c>
      <c r="F1814" t="s">
        <v>2437</v>
      </c>
      <c r="I1814" t="s">
        <v>2446</v>
      </c>
      <c r="J1814" t="s">
        <v>2465</v>
      </c>
      <c r="K1814" t="s">
        <v>2569</v>
      </c>
      <c r="M1814" t="s">
        <v>2622</v>
      </c>
    </row>
    <row r="1815" spans="1:13">
      <c r="A1815" s="1">
        <f>HYPERLINK("https://lsnyc.legalserver.org/matter/dynamic-profile/view/1873110","18-1873110")</f>
        <v>0</v>
      </c>
      <c r="B1815" t="s">
        <v>15</v>
      </c>
      <c r="C1815" t="s">
        <v>32</v>
      </c>
      <c r="D1815" t="s">
        <v>1442</v>
      </c>
      <c r="E1815" t="s">
        <v>2385</v>
      </c>
      <c r="F1815" t="s">
        <v>2438</v>
      </c>
      <c r="I1815" t="s">
        <v>2446</v>
      </c>
      <c r="J1815" t="s">
        <v>2450</v>
      </c>
      <c r="K1815" t="s">
        <v>2569</v>
      </c>
      <c r="M1815" t="s">
        <v>2616</v>
      </c>
    </row>
    <row r="1816" spans="1:13">
      <c r="A1816" s="1">
        <f>HYPERLINK("https://lsnyc.legalserver.org/matter/dynamic-profile/view/1872875","18-1872875")</f>
        <v>0</v>
      </c>
      <c r="B1816" t="s">
        <v>18</v>
      </c>
      <c r="C1816" t="s">
        <v>27</v>
      </c>
      <c r="D1816" t="s">
        <v>384</v>
      </c>
      <c r="E1816" t="s">
        <v>2381</v>
      </c>
      <c r="F1816" t="s">
        <v>2437</v>
      </c>
      <c r="I1816" t="s">
        <v>2446</v>
      </c>
      <c r="J1816" t="s">
        <v>2448</v>
      </c>
      <c r="K1816" t="s">
        <v>2569</v>
      </c>
      <c r="L1816" t="s">
        <v>2603</v>
      </c>
      <c r="M1816" t="s">
        <v>2622</v>
      </c>
    </row>
    <row r="1817" spans="1:13">
      <c r="A1817" s="1">
        <f>HYPERLINK("https://lsnyc.legalserver.org/matter/dynamic-profile/view/1872951","18-1872951")</f>
        <v>0</v>
      </c>
      <c r="B1817" t="s">
        <v>15</v>
      </c>
      <c r="C1817" t="s">
        <v>31</v>
      </c>
      <c r="D1817" t="s">
        <v>1443</v>
      </c>
      <c r="E1817" t="s">
        <v>2383</v>
      </c>
      <c r="F1817" t="s">
        <v>2437</v>
      </c>
      <c r="J1817" t="s">
        <v>2457</v>
      </c>
      <c r="K1817" t="s">
        <v>2569</v>
      </c>
      <c r="L1817" t="s">
        <v>2603</v>
      </c>
      <c r="M1817" t="s">
        <v>2624</v>
      </c>
    </row>
    <row r="1818" spans="1:13">
      <c r="A1818" s="1">
        <f>HYPERLINK("https://lsnyc.legalserver.org/matter/dynamic-profile/view/1872960","18-1872960")</f>
        <v>0</v>
      </c>
      <c r="B1818" t="s">
        <v>19</v>
      </c>
      <c r="C1818" t="s">
        <v>50</v>
      </c>
      <c r="D1818" t="s">
        <v>1444</v>
      </c>
      <c r="E1818" t="s">
        <v>2375</v>
      </c>
      <c r="F1818" t="s">
        <v>2437</v>
      </c>
      <c r="I1818" t="s">
        <v>2446</v>
      </c>
      <c r="J1818" t="s">
        <v>2471</v>
      </c>
      <c r="K1818" t="s">
        <v>2571</v>
      </c>
      <c r="M1818" t="s">
        <v>2617</v>
      </c>
    </row>
    <row r="1819" spans="1:13">
      <c r="A1819" s="1">
        <f>HYPERLINK("https://lsnyc.legalserver.org/matter/dynamic-profile/view/1872750","18-1872750")</f>
        <v>0</v>
      </c>
      <c r="B1819" t="s">
        <v>16</v>
      </c>
      <c r="C1819" t="s">
        <v>23</v>
      </c>
      <c r="D1819" t="s">
        <v>1445</v>
      </c>
      <c r="E1819" t="s">
        <v>2393</v>
      </c>
      <c r="F1819" t="s">
        <v>2437</v>
      </c>
      <c r="I1819" t="s">
        <v>2446</v>
      </c>
      <c r="J1819" t="s">
        <v>2461</v>
      </c>
      <c r="M1819" t="s">
        <v>2637</v>
      </c>
    </row>
    <row r="1820" spans="1:13">
      <c r="A1820" s="1">
        <f>HYPERLINK("https://lsnyc.legalserver.org/matter/dynamic-profile/view/1872781","18-1872781")</f>
        <v>0</v>
      </c>
      <c r="B1820" t="s">
        <v>16</v>
      </c>
      <c r="C1820" t="s">
        <v>23</v>
      </c>
      <c r="D1820" t="s">
        <v>1446</v>
      </c>
      <c r="E1820" t="s">
        <v>2370</v>
      </c>
      <c r="F1820" t="s">
        <v>2437</v>
      </c>
      <c r="I1820" t="s">
        <v>2446</v>
      </c>
      <c r="J1820" t="s">
        <v>2455</v>
      </c>
      <c r="K1820" t="s">
        <v>2572</v>
      </c>
      <c r="M1820" t="s">
        <v>2638</v>
      </c>
    </row>
    <row r="1821" spans="1:13">
      <c r="A1821" s="1">
        <f>HYPERLINK("https://lsnyc.legalserver.org/matter/dynamic-profile/view/1872804","18-1872804")</f>
        <v>0</v>
      </c>
      <c r="B1821" t="s">
        <v>18</v>
      </c>
      <c r="C1821" t="s">
        <v>27</v>
      </c>
      <c r="D1821" t="s">
        <v>244</v>
      </c>
      <c r="E1821" t="s">
        <v>2385</v>
      </c>
      <c r="F1821" t="s">
        <v>2438</v>
      </c>
      <c r="J1821" t="s">
        <v>2450</v>
      </c>
      <c r="K1821" t="s">
        <v>2569</v>
      </c>
      <c r="L1821" t="s">
        <v>2600</v>
      </c>
      <c r="M1821" t="s">
        <v>2616</v>
      </c>
    </row>
    <row r="1822" spans="1:13">
      <c r="A1822" s="1">
        <f>HYPERLINK("https://lsnyc.legalserver.org/matter/dynamic-profile/view/1872704","18-1872704")</f>
        <v>0</v>
      </c>
      <c r="B1822" t="s">
        <v>16</v>
      </c>
      <c r="C1822" t="s">
        <v>23</v>
      </c>
      <c r="D1822" t="s">
        <v>1447</v>
      </c>
      <c r="E1822" t="s">
        <v>2390</v>
      </c>
      <c r="F1822" t="s">
        <v>2439</v>
      </c>
      <c r="I1822" t="s">
        <v>2446</v>
      </c>
      <c r="J1822" t="s">
        <v>2545</v>
      </c>
      <c r="K1822" t="s">
        <v>2572</v>
      </c>
      <c r="L1822" t="s">
        <v>2601</v>
      </c>
      <c r="M1822" t="s">
        <v>2631</v>
      </c>
    </row>
    <row r="1823" spans="1:13">
      <c r="A1823" s="1">
        <f>HYPERLINK("https://lsnyc.legalserver.org/matter/dynamic-profile/view/1872689","18-1872689")</f>
        <v>0</v>
      </c>
      <c r="B1823" t="s">
        <v>19</v>
      </c>
      <c r="C1823" t="s">
        <v>62</v>
      </c>
      <c r="D1823" t="s">
        <v>1448</v>
      </c>
      <c r="E1823" t="s">
        <v>2375</v>
      </c>
      <c r="F1823" t="s">
        <v>2437</v>
      </c>
      <c r="J1823" t="s">
        <v>2483</v>
      </c>
      <c r="K1823" t="s">
        <v>2571</v>
      </c>
      <c r="L1823" t="s">
        <v>2603</v>
      </c>
      <c r="M1823" t="s">
        <v>2617</v>
      </c>
    </row>
    <row r="1824" spans="1:13">
      <c r="A1824" s="1">
        <f>HYPERLINK("https://lsnyc.legalserver.org/matter/dynamic-profile/view/1868658","18-1868658")</f>
        <v>0</v>
      </c>
      <c r="B1824" t="s">
        <v>17</v>
      </c>
      <c r="C1824" t="s">
        <v>28</v>
      </c>
      <c r="D1824" t="s">
        <v>1449</v>
      </c>
      <c r="E1824" t="s">
        <v>2385</v>
      </c>
      <c r="F1824" t="s">
        <v>2438</v>
      </c>
      <c r="I1824" t="s">
        <v>2446</v>
      </c>
      <c r="J1824" t="s">
        <v>2471</v>
      </c>
      <c r="K1824" t="s">
        <v>2571</v>
      </c>
      <c r="L1824" t="s">
        <v>2600</v>
      </c>
      <c r="M1824" t="s">
        <v>2616</v>
      </c>
    </row>
    <row r="1825" spans="1:14">
      <c r="A1825" s="1">
        <f>HYPERLINK("https://lsnyc.legalserver.org/matter/dynamic-profile/view/1872614","18-1872614")</f>
        <v>0</v>
      </c>
      <c r="B1825" t="s">
        <v>18</v>
      </c>
      <c r="C1825" t="s">
        <v>27</v>
      </c>
      <c r="D1825" t="s">
        <v>1450</v>
      </c>
      <c r="E1825" t="s">
        <v>2387</v>
      </c>
      <c r="F1825" t="s">
        <v>2437</v>
      </c>
      <c r="I1825" t="s">
        <v>2446</v>
      </c>
      <c r="J1825" t="s">
        <v>2512</v>
      </c>
      <c r="K1825" t="s">
        <v>2572</v>
      </c>
      <c r="L1825" t="s">
        <v>2600</v>
      </c>
      <c r="M1825" t="s">
        <v>2629</v>
      </c>
    </row>
    <row r="1826" spans="1:14">
      <c r="A1826" s="1">
        <f>HYPERLINK("https://lsnyc.legalserver.org/matter/dynamic-profile/view/1871062","18-1871062")</f>
        <v>0</v>
      </c>
      <c r="B1826" t="s">
        <v>17</v>
      </c>
      <c r="C1826" t="s">
        <v>42</v>
      </c>
      <c r="D1826" t="s">
        <v>1451</v>
      </c>
      <c r="E1826" t="s">
        <v>2387</v>
      </c>
      <c r="F1826" t="s">
        <v>2442</v>
      </c>
      <c r="I1826" t="s">
        <v>2446</v>
      </c>
      <c r="J1826" t="s">
        <v>2457</v>
      </c>
      <c r="K1826" t="s">
        <v>2569</v>
      </c>
      <c r="L1826" t="s">
        <v>2604</v>
      </c>
      <c r="M1826" t="s">
        <v>2629</v>
      </c>
    </row>
    <row r="1827" spans="1:14">
      <c r="A1827" s="1">
        <f>HYPERLINK("https://lsnyc.legalserver.org/matter/dynamic-profile/view/1872512","18-1872512")</f>
        <v>0</v>
      </c>
      <c r="B1827" t="s">
        <v>14</v>
      </c>
      <c r="C1827" t="s">
        <v>33</v>
      </c>
      <c r="D1827" t="s">
        <v>1452</v>
      </c>
      <c r="E1827" t="s">
        <v>2387</v>
      </c>
      <c r="G1827" t="s">
        <v>2444</v>
      </c>
      <c r="K1827" t="s">
        <v>2572</v>
      </c>
      <c r="L1827" t="s">
        <v>2601</v>
      </c>
      <c r="M1827" t="s">
        <v>2641</v>
      </c>
    </row>
    <row r="1828" spans="1:14">
      <c r="A1828" s="1">
        <f>HYPERLINK("https://lsnyc.legalserver.org/matter/dynamic-profile/view/1872477","18-1872477")</f>
        <v>0</v>
      </c>
      <c r="B1828" t="s">
        <v>16</v>
      </c>
      <c r="C1828" t="s">
        <v>23</v>
      </c>
      <c r="D1828" t="s">
        <v>1453</v>
      </c>
      <c r="E1828" t="s">
        <v>2370</v>
      </c>
      <c r="F1828" t="s">
        <v>2437</v>
      </c>
      <c r="I1828" t="s">
        <v>2446</v>
      </c>
      <c r="J1828" t="s">
        <v>2447</v>
      </c>
      <c r="K1828" t="s">
        <v>2569</v>
      </c>
      <c r="M1828" t="s">
        <v>2638</v>
      </c>
    </row>
    <row r="1829" spans="1:14">
      <c r="A1829" s="1">
        <f>HYPERLINK("https://lsnyc.legalserver.org/matter/dynamic-profile/view/1872541","18-1872541")</f>
        <v>0</v>
      </c>
      <c r="B1829" t="s">
        <v>14</v>
      </c>
      <c r="C1829" t="s">
        <v>21</v>
      </c>
      <c r="D1829" t="s">
        <v>359</v>
      </c>
      <c r="E1829" t="s">
        <v>2403</v>
      </c>
      <c r="F1829" t="s">
        <v>2441</v>
      </c>
      <c r="I1829" t="s">
        <v>2446</v>
      </c>
      <c r="J1829" t="s">
        <v>2450</v>
      </c>
      <c r="L1829" t="s">
        <v>2603</v>
      </c>
      <c r="M1829" t="s">
        <v>2639</v>
      </c>
      <c r="N1829" t="s">
        <v>2649</v>
      </c>
    </row>
    <row r="1830" spans="1:14">
      <c r="A1830" s="1">
        <f>HYPERLINK("https://lsnyc.legalserver.org/matter/dynamic-profile/view/1872560","18-1872560")</f>
        <v>0</v>
      </c>
      <c r="B1830" t="s">
        <v>14</v>
      </c>
      <c r="C1830" t="s">
        <v>21</v>
      </c>
      <c r="D1830" t="s">
        <v>349</v>
      </c>
      <c r="E1830" t="s">
        <v>2403</v>
      </c>
      <c r="F1830" t="s">
        <v>2441</v>
      </c>
      <c r="I1830" t="s">
        <v>2446</v>
      </c>
      <c r="J1830" t="s">
        <v>2450</v>
      </c>
      <c r="L1830" t="s">
        <v>2603</v>
      </c>
      <c r="M1830" t="s">
        <v>2639</v>
      </c>
      <c r="N1830" t="s">
        <v>2649</v>
      </c>
    </row>
    <row r="1831" spans="1:14">
      <c r="A1831" s="1">
        <f>HYPERLINK("https://lsnyc.legalserver.org/matter/dynamic-profile/view/1872564","18-1872564")</f>
        <v>0</v>
      </c>
      <c r="B1831" t="s">
        <v>14</v>
      </c>
      <c r="C1831" t="s">
        <v>21</v>
      </c>
      <c r="D1831" t="s">
        <v>358</v>
      </c>
      <c r="E1831" t="s">
        <v>2403</v>
      </c>
      <c r="F1831" t="s">
        <v>2441</v>
      </c>
      <c r="I1831" t="s">
        <v>2446</v>
      </c>
      <c r="J1831" t="s">
        <v>2450</v>
      </c>
      <c r="L1831" t="s">
        <v>2603</v>
      </c>
      <c r="M1831" t="s">
        <v>2639</v>
      </c>
      <c r="N1831" t="s">
        <v>2649</v>
      </c>
    </row>
    <row r="1832" spans="1:14">
      <c r="A1832" s="1">
        <f>HYPERLINK("https://lsnyc.legalserver.org/matter/dynamic-profile/view/1873466","18-1873466")</f>
        <v>0</v>
      </c>
      <c r="B1832" t="s">
        <v>19</v>
      </c>
      <c r="C1832" t="s">
        <v>50</v>
      </c>
      <c r="D1832" t="s">
        <v>1454</v>
      </c>
      <c r="E1832" t="s">
        <v>2385</v>
      </c>
      <c r="F1832" t="s">
        <v>2438</v>
      </c>
      <c r="J1832" t="s">
        <v>2450</v>
      </c>
      <c r="K1832" t="s">
        <v>2569</v>
      </c>
      <c r="L1832" t="s">
        <v>2600</v>
      </c>
      <c r="M1832" t="s">
        <v>2616</v>
      </c>
      <c r="N1832" t="s">
        <v>2649</v>
      </c>
    </row>
    <row r="1833" spans="1:14">
      <c r="A1833" s="1">
        <f>HYPERLINK("https://lsnyc.legalserver.org/matter/dynamic-profile/view/1872410","18-1872410")</f>
        <v>0</v>
      </c>
      <c r="B1833" t="s">
        <v>14</v>
      </c>
      <c r="C1833" t="s">
        <v>21</v>
      </c>
      <c r="D1833" t="s">
        <v>1455</v>
      </c>
      <c r="E1833" t="s">
        <v>2376</v>
      </c>
      <c r="F1833" t="s">
        <v>2437</v>
      </c>
      <c r="I1833" t="s">
        <v>2446</v>
      </c>
      <c r="J1833" t="s">
        <v>2447</v>
      </c>
      <c r="K1833" t="s">
        <v>2569</v>
      </c>
      <c r="L1833" t="s">
        <v>2600</v>
      </c>
      <c r="M1833" t="s">
        <v>2626</v>
      </c>
    </row>
    <row r="1834" spans="1:14">
      <c r="A1834" s="1">
        <f>HYPERLINK("https://lsnyc.legalserver.org/matter/dynamic-profile/view/1869598","18-1869598")</f>
        <v>0</v>
      </c>
      <c r="B1834" t="s">
        <v>17</v>
      </c>
      <c r="C1834" t="s">
        <v>36</v>
      </c>
      <c r="D1834" t="s">
        <v>1456</v>
      </c>
      <c r="E1834" t="s">
        <v>2385</v>
      </c>
      <c r="F1834" t="s">
        <v>2438</v>
      </c>
      <c r="I1834" t="s">
        <v>2446</v>
      </c>
      <c r="J1834" t="s">
        <v>2501</v>
      </c>
      <c r="K1834" t="s">
        <v>2571</v>
      </c>
      <c r="M1834" t="s">
        <v>2616</v>
      </c>
    </row>
    <row r="1835" spans="1:14">
      <c r="A1835" s="1">
        <f>HYPERLINK("https://lsnyc.legalserver.org/matter/dynamic-profile/view/1869766","18-1869766")</f>
        <v>0</v>
      </c>
      <c r="B1835" t="s">
        <v>17</v>
      </c>
      <c r="C1835" t="s">
        <v>36</v>
      </c>
      <c r="D1835" t="s">
        <v>1457</v>
      </c>
      <c r="E1835" t="s">
        <v>2385</v>
      </c>
      <c r="F1835" t="s">
        <v>2438</v>
      </c>
      <c r="I1835" t="s">
        <v>2446</v>
      </c>
      <c r="J1835" t="s">
        <v>2450</v>
      </c>
      <c r="K1835" t="s">
        <v>2569</v>
      </c>
      <c r="L1835" t="s">
        <v>2600</v>
      </c>
      <c r="M1835" t="s">
        <v>2616</v>
      </c>
    </row>
    <row r="1836" spans="1:14">
      <c r="A1836" s="1">
        <f>HYPERLINK("https://lsnyc.legalserver.org/matter/dynamic-profile/view/1878258","18-1878258")</f>
        <v>0</v>
      </c>
      <c r="B1836" t="s">
        <v>18</v>
      </c>
      <c r="C1836" t="s">
        <v>27</v>
      </c>
      <c r="D1836" t="s">
        <v>97</v>
      </c>
      <c r="E1836" t="s">
        <v>2393</v>
      </c>
      <c r="F1836" t="s">
        <v>2437</v>
      </c>
      <c r="I1836" t="s">
        <v>2446</v>
      </c>
      <c r="J1836" t="s">
        <v>2453</v>
      </c>
      <c r="K1836" t="s">
        <v>2572</v>
      </c>
      <c r="L1836" t="s">
        <v>2603</v>
      </c>
      <c r="M1836" t="s">
        <v>2637</v>
      </c>
    </row>
    <row r="1837" spans="1:14">
      <c r="A1837" s="1">
        <f>HYPERLINK("https://lsnyc.legalserver.org/matter/dynamic-profile/view/1872131","18-1872131")</f>
        <v>0</v>
      </c>
      <c r="B1837" t="s">
        <v>18</v>
      </c>
      <c r="C1837" t="s">
        <v>27</v>
      </c>
      <c r="D1837" t="s">
        <v>97</v>
      </c>
      <c r="E1837" t="s">
        <v>2378</v>
      </c>
      <c r="F1837" t="s">
        <v>2437</v>
      </c>
      <c r="I1837" t="s">
        <v>2446</v>
      </c>
      <c r="J1837" t="s">
        <v>2453</v>
      </c>
      <c r="K1837" t="s">
        <v>2572</v>
      </c>
      <c r="L1837" t="s">
        <v>2603</v>
      </c>
      <c r="M1837" t="s">
        <v>2619</v>
      </c>
    </row>
    <row r="1838" spans="1:14">
      <c r="A1838" s="1">
        <f>HYPERLINK("https://lsnyc.legalserver.org/matter/dynamic-profile/view/1872105","18-1872105")</f>
        <v>0</v>
      </c>
      <c r="B1838" t="s">
        <v>16</v>
      </c>
      <c r="C1838" t="s">
        <v>23</v>
      </c>
      <c r="D1838" t="s">
        <v>1458</v>
      </c>
      <c r="E1838" t="s">
        <v>2370</v>
      </c>
      <c r="F1838" t="s">
        <v>2437</v>
      </c>
      <c r="I1838" t="s">
        <v>2446</v>
      </c>
      <c r="J1838" t="s">
        <v>2457</v>
      </c>
      <c r="K1838" t="s">
        <v>2569</v>
      </c>
      <c r="M1838" t="s">
        <v>2638</v>
      </c>
    </row>
    <row r="1839" spans="1:14">
      <c r="A1839" s="1">
        <f>HYPERLINK("https://lsnyc.legalserver.org/matter/dynamic-profile/view/1871939","18-1871939")</f>
        <v>0</v>
      </c>
      <c r="B1839" t="s">
        <v>19</v>
      </c>
      <c r="C1839" t="s">
        <v>38</v>
      </c>
      <c r="D1839" t="s">
        <v>1459</v>
      </c>
      <c r="E1839" t="s">
        <v>2390</v>
      </c>
      <c r="F1839" t="s">
        <v>2439</v>
      </c>
      <c r="H1839" t="s">
        <v>2445</v>
      </c>
      <c r="J1839" t="s">
        <v>2546</v>
      </c>
      <c r="K1839" t="s">
        <v>2572</v>
      </c>
      <c r="L1839" t="s">
        <v>2602</v>
      </c>
      <c r="M1839" t="s">
        <v>2631</v>
      </c>
    </row>
    <row r="1840" spans="1:14">
      <c r="A1840" s="1">
        <f>HYPERLINK("https://lsnyc.legalserver.org/matter/dynamic-profile/view/1871999","18-1871999")</f>
        <v>0</v>
      </c>
      <c r="B1840" t="s">
        <v>19</v>
      </c>
      <c r="C1840" t="s">
        <v>38</v>
      </c>
      <c r="D1840" t="s">
        <v>1460</v>
      </c>
      <c r="E1840" t="s">
        <v>2390</v>
      </c>
      <c r="F1840" t="s">
        <v>2437</v>
      </c>
      <c r="G1840" t="s">
        <v>2444</v>
      </c>
      <c r="I1840" t="s">
        <v>2446</v>
      </c>
      <c r="J1840" t="s">
        <v>2452</v>
      </c>
      <c r="K1840" t="s">
        <v>2572</v>
      </c>
      <c r="L1840" t="s">
        <v>2607</v>
      </c>
      <c r="M1840" t="s">
        <v>2619</v>
      </c>
      <c r="N1840" t="s">
        <v>2648</v>
      </c>
    </row>
    <row r="1841" spans="1:13">
      <c r="A1841" s="1">
        <f>HYPERLINK("https://lsnyc.legalserver.org/matter/dynamic-profile/view/1871493","18-1871493")</f>
        <v>0</v>
      </c>
      <c r="B1841" t="s">
        <v>17</v>
      </c>
      <c r="C1841" t="s">
        <v>28</v>
      </c>
      <c r="D1841" t="s">
        <v>98</v>
      </c>
      <c r="E1841" t="s">
        <v>2385</v>
      </c>
      <c r="F1841" t="s">
        <v>2438</v>
      </c>
      <c r="I1841" t="s">
        <v>2446</v>
      </c>
      <c r="J1841" t="s">
        <v>2449</v>
      </c>
      <c r="K1841" t="s">
        <v>2569</v>
      </c>
      <c r="L1841" t="s">
        <v>2600</v>
      </c>
      <c r="M1841" t="s">
        <v>2616</v>
      </c>
    </row>
    <row r="1842" spans="1:13">
      <c r="A1842" s="1">
        <f>HYPERLINK("https://lsnyc.legalserver.org/matter/dynamic-profile/view/1871941","18-1871941")</f>
        <v>0</v>
      </c>
      <c r="B1842" t="s">
        <v>19</v>
      </c>
      <c r="C1842" t="s">
        <v>54</v>
      </c>
      <c r="D1842" t="s">
        <v>1461</v>
      </c>
      <c r="E1842" t="s">
        <v>2391</v>
      </c>
      <c r="F1842" t="s">
        <v>2441</v>
      </c>
      <c r="I1842" t="s">
        <v>2446</v>
      </c>
      <c r="J1842" t="s">
        <v>2447</v>
      </c>
      <c r="K1842" t="s">
        <v>2572</v>
      </c>
      <c r="L1842" t="s">
        <v>2602</v>
      </c>
      <c r="M1842" t="s">
        <v>2615</v>
      </c>
    </row>
    <row r="1843" spans="1:13">
      <c r="A1843" s="1">
        <f>HYPERLINK("https://lsnyc.legalserver.org/matter/dynamic-profile/view/1871818","18-1871818")</f>
        <v>0</v>
      </c>
      <c r="B1843" t="s">
        <v>16</v>
      </c>
      <c r="C1843" t="s">
        <v>23</v>
      </c>
      <c r="D1843" t="s">
        <v>1462</v>
      </c>
      <c r="E1843" t="s">
        <v>2370</v>
      </c>
      <c r="F1843" t="s">
        <v>2439</v>
      </c>
      <c r="I1843" t="s">
        <v>2446</v>
      </c>
      <c r="J1843" t="s">
        <v>2452</v>
      </c>
      <c r="K1843" t="s">
        <v>2572</v>
      </c>
      <c r="L1843" t="s">
        <v>2601</v>
      </c>
      <c r="M1843" t="s">
        <v>2631</v>
      </c>
    </row>
    <row r="1844" spans="1:13">
      <c r="A1844" s="1">
        <f>HYPERLINK("https://lsnyc.legalserver.org/matter/dynamic-profile/view/1871883","18-1871883")</f>
        <v>0</v>
      </c>
      <c r="B1844" t="s">
        <v>17</v>
      </c>
      <c r="C1844" t="s">
        <v>60</v>
      </c>
      <c r="D1844" t="s">
        <v>1463</v>
      </c>
      <c r="E1844" t="s">
        <v>2376</v>
      </c>
      <c r="F1844" t="s">
        <v>2437</v>
      </c>
      <c r="I1844" t="s">
        <v>2446</v>
      </c>
      <c r="J1844" t="s">
        <v>2457</v>
      </c>
      <c r="K1844" t="s">
        <v>2569</v>
      </c>
      <c r="L1844" t="s">
        <v>2603</v>
      </c>
      <c r="M1844" t="s">
        <v>2618</v>
      </c>
    </row>
    <row r="1845" spans="1:13">
      <c r="A1845" s="1">
        <f>HYPERLINK("https://lsnyc.legalserver.org/matter/dynamic-profile/view/1871891","18-1871891")</f>
        <v>0</v>
      </c>
      <c r="B1845" t="s">
        <v>17</v>
      </c>
      <c r="C1845" t="s">
        <v>60</v>
      </c>
      <c r="D1845" t="s">
        <v>1464</v>
      </c>
      <c r="E1845" t="s">
        <v>2376</v>
      </c>
      <c r="F1845" t="s">
        <v>2437</v>
      </c>
      <c r="I1845" t="s">
        <v>2446</v>
      </c>
      <c r="J1845" t="s">
        <v>2457</v>
      </c>
      <c r="K1845" t="s">
        <v>2569</v>
      </c>
      <c r="L1845" t="s">
        <v>2603</v>
      </c>
      <c r="M1845" t="s">
        <v>2618</v>
      </c>
    </row>
    <row r="1846" spans="1:13">
      <c r="A1846" s="1">
        <f>HYPERLINK("https://lsnyc.legalserver.org/matter/dynamic-profile/view/1871776","18-1871776")</f>
        <v>0</v>
      </c>
      <c r="B1846" t="s">
        <v>19</v>
      </c>
      <c r="C1846" t="s">
        <v>38</v>
      </c>
      <c r="D1846" t="s">
        <v>1465</v>
      </c>
      <c r="E1846" t="s">
        <v>2376</v>
      </c>
      <c r="F1846" t="s">
        <v>2437</v>
      </c>
      <c r="G1846" t="s">
        <v>2444</v>
      </c>
      <c r="I1846" t="s">
        <v>2446</v>
      </c>
      <c r="J1846" t="s">
        <v>2452</v>
      </c>
      <c r="K1846" t="s">
        <v>2572</v>
      </c>
      <c r="L1846" t="s">
        <v>2600</v>
      </c>
      <c r="M1846" t="s">
        <v>2618</v>
      </c>
    </row>
    <row r="1847" spans="1:13">
      <c r="A1847" s="1">
        <f>HYPERLINK("https://lsnyc.legalserver.org/matter/dynamic-profile/view/1871881","18-1871881")</f>
        <v>0</v>
      </c>
      <c r="B1847" t="s">
        <v>17</v>
      </c>
      <c r="C1847" t="s">
        <v>60</v>
      </c>
      <c r="D1847" t="s">
        <v>1466</v>
      </c>
      <c r="E1847" t="s">
        <v>2376</v>
      </c>
      <c r="F1847" t="s">
        <v>2437</v>
      </c>
      <c r="I1847" t="s">
        <v>2446</v>
      </c>
      <c r="J1847" t="s">
        <v>2457</v>
      </c>
      <c r="K1847" t="s">
        <v>2569</v>
      </c>
      <c r="L1847" t="s">
        <v>2603</v>
      </c>
      <c r="M1847" t="s">
        <v>2618</v>
      </c>
    </row>
    <row r="1848" spans="1:13">
      <c r="A1848" s="1">
        <f>HYPERLINK("https://lsnyc.legalserver.org/matter/dynamic-profile/view/1871819","18-1871819")</f>
        <v>0</v>
      </c>
      <c r="B1848" t="s">
        <v>18</v>
      </c>
      <c r="C1848" t="s">
        <v>27</v>
      </c>
      <c r="D1848" t="s">
        <v>1430</v>
      </c>
      <c r="E1848" t="s">
        <v>2381</v>
      </c>
      <c r="F1848" t="s">
        <v>2437</v>
      </c>
      <c r="I1848" t="s">
        <v>2446</v>
      </c>
      <c r="J1848" t="s">
        <v>2518</v>
      </c>
      <c r="K1848" t="s">
        <v>2572</v>
      </c>
      <c r="L1848" t="s">
        <v>2603</v>
      </c>
      <c r="M1848" t="s">
        <v>2622</v>
      </c>
    </row>
    <row r="1849" spans="1:13">
      <c r="A1849" s="1">
        <f>HYPERLINK("https://lsnyc.legalserver.org/matter/dynamic-profile/view/1871827","18-1871827")</f>
        <v>0</v>
      </c>
      <c r="B1849" t="s">
        <v>16</v>
      </c>
      <c r="C1849" t="s">
        <v>23</v>
      </c>
      <c r="D1849" t="s">
        <v>1446</v>
      </c>
      <c r="E1849" t="s">
        <v>2406</v>
      </c>
      <c r="F1849" t="s">
        <v>2437</v>
      </c>
      <c r="I1849" t="s">
        <v>2446</v>
      </c>
      <c r="J1849" t="s">
        <v>2455</v>
      </c>
      <c r="K1849" t="s">
        <v>2569</v>
      </c>
      <c r="M1849" t="s">
        <v>2642</v>
      </c>
    </row>
    <row r="1850" spans="1:13">
      <c r="A1850" s="1">
        <f>HYPERLINK("https://lsnyc.legalserver.org/matter/dynamic-profile/view/1871737","18-1871737")</f>
        <v>0</v>
      </c>
      <c r="B1850" t="s">
        <v>19</v>
      </c>
      <c r="C1850" t="s">
        <v>38</v>
      </c>
      <c r="D1850" t="s">
        <v>1467</v>
      </c>
      <c r="E1850" t="s">
        <v>2390</v>
      </c>
      <c r="F1850" t="s">
        <v>2440</v>
      </c>
      <c r="I1850" t="s">
        <v>2446</v>
      </c>
      <c r="J1850" t="s">
        <v>2516</v>
      </c>
      <c r="K1850" t="s">
        <v>2572</v>
      </c>
      <c r="L1850" t="s">
        <v>2601</v>
      </c>
      <c r="M1850" t="s">
        <v>2631</v>
      </c>
    </row>
    <row r="1851" spans="1:13">
      <c r="A1851" s="1">
        <f>HYPERLINK("https://lsnyc.legalserver.org/matter/dynamic-profile/view/1869623","18-1869623")</f>
        <v>0</v>
      </c>
      <c r="B1851" t="s">
        <v>16</v>
      </c>
      <c r="C1851" t="s">
        <v>23</v>
      </c>
      <c r="D1851" t="s">
        <v>1252</v>
      </c>
      <c r="E1851" t="s">
        <v>2370</v>
      </c>
      <c r="F1851" t="s">
        <v>2437</v>
      </c>
      <c r="I1851" t="s">
        <v>2446</v>
      </c>
      <c r="J1851" t="s">
        <v>2518</v>
      </c>
      <c r="K1851" t="s">
        <v>2582</v>
      </c>
      <c r="M1851" t="s">
        <v>2638</v>
      </c>
    </row>
    <row r="1852" spans="1:13">
      <c r="A1852" s="1">
        <f>HYPERLINK("https://lsnyc.legalserver.org/matter/dynamic-profile/view/1871746","18-1871746")</f>
        <v>0</v>
      </c>
      <c r="B1852" t="s">
        <v>16</v>
      </c>
      <c r="C1852" t="s">
        <v>23</v>
      </c>
      <c r="D1852" t="s">
        <v>480</v>
      </c>
      <c r="E1852" t="s">
        <v>2412</v>
      </c>
      <c r="F1852" t="s">
        <v>2437</v>
      </c>
      <c r="I1852" t="s">
        <v>2446</v>
      </c>
      <c r="J1852" t="s">
        <v>2460</v>
      </c>
      <c r="K1852" t="s">
        <v>2581</v>
      </c>
      <c r="M1852" t="s">
        <v>2616</v>
      </c>
    </row>
    <row r="1853" spans="1:13">
      <c r="A1853" s="1">
        <f>HYPERLINK("https://lsnyc.legalserver.org/matter/dynamic-profile/view/1869280","18-1869280")</f>
        <v>0</v>
      </c>
      <c r="B1853" t="s">
        <v>16</v>
      </c>
      <c r="C1853" t="s">
        <v>23</v>
      </c>
      <c r="D1853" t="s">
        <v>1468</v>
      </c>
      <c r="E1853" t="s">
        <v>2375</v>
      </c>
      <c r="F1853" t="s">
        <v>2437</v>
      </c>
      <c r="G1853" t="s">
        <v>2444</v>
      </c>
      <c r="I1853" t="s">
        <v>2446</v>
      </c>
      <c r="J1853" t="s">
        <v>2452</v>
      </c>
      <c r="K1853" t="s">
        <v>2572</v>
      </c>
      <c r="M1853" t="s">
        <v>2617</v>
      </c>
    </row>
    <row r="1854" spans="1:13">
      <c r="A1854" s="1">
        <f>HYPERLINK("https://lsnyc.legalserver.org/matter/dynamic-profile/view/1871648","18-1871648")</f>
        <v>0</v>
      </c>
      <c r="B1854" t="s">
        <v>19</v>
      </c>
      <c r="C1854" t="s">
        <v>50</v>
      </c>
      <c r="D1854" t="s">
        <v>1469</v>
      </c>
      <c r="E1854" t="s">
        <v>2375</v>
      </c>
      <c r="F1854" t="s">
        <v>2437</v>
      </c>
      <c r="I1854" t="s">
        <v>2446</v>
      </c>
      <c r="J1854" t="s">
        <v>2455</v>
      </c>
      <c r="K1854" t="s">
        <v>2569</v>
      </c>
      <c r="M1854" t="s">
        <v>2617</v>
      </c>
    </row>
    <row r="1855" spans="1:13">
      <c r="A1855" s="1">
        <f>HYPERLINK("https://lsnyc.legalserver.org/matter/dynamic-profile/view/1871662","18-1871662")</f>
        <v>0</v>
      </c>
      <c r="B1855" t="s">
        <v>19</v>
      </c>
      <c r="C1855" t="s">
        <v>50</v>
      </c>
      <c r="D1855" t="s">
        <v>1470</v>
      </c>
      <c r="E1855" t="s">
        <v>2375</v>
      </c>
      <c r="F1855" t="s">
        <v>2437</v>
      </c>
      <c r="I1855" t="s">
        <v>2446</v>
      </c>
      <c r="J1855" t="s">
        <v>2455</v>
      </c>
      <c r="K1855" t="s">
        <v>2569</v>
      </c>
      <c r="M1855" t="s">
        <v>2617</v>
      </c>
    </row>
    <row r="1856" spans="1:13">
      <c r="A1856" s="1">
        <f>HYPERLINK("https://lsnyc.legalserver.org/matter/dynamic-profile/view/1871507","18-1871507")</f>
        <v>0</v>
      </c>
      <c r="B1856" t="s">
        <v>18</v>
      </c>
      <c r="C1856" t="s">
        <v>27</v>
      </c>
      <c r="D1856" t="s">
        <v>1471</v>
      </c>
      <c r="E1856" t="s">
        <v>2375</v>
      </c>
      <c r="F1856" t="s">
        <v>2439</v>
      </c>
      <c r="I1856" t="s">
        <v>2446</v>
      </c>
      <c r="J1856" t="s">
        <v>2471</v>
      </c>
      <c r="K1856" t="s">
        <v>2571</v>
      </c>
      <c r="L1856" t="s">
        <v>2602</v>
      </c>
      <c r="M1856" t="s">
        <v>2631</v>
      </c>
    </row>
    <row r="1857" spans="1:13">
      <c r="A1857" s="1">
        <f>HYPERLINK("https://lsnyc.legalserver.org/matter/dynamic-profile/view/1871468","18-1871468")</f>
        <v>0</v>
      </c>
      <c r="B1857" t="s">
        <v>17</v>
      </c>
      <c r="C1857" t="s">
        <v>36</v>
      </c>
      <c r="D1857" t="s">
        <v>1472</v>
      </c>
      <c r="E1857" t="s">
        <v>2390</v>
      </c>
      <c r="F1857" t="s">
        <v>2437</v>
      </c>
      <c r="I1857" t="s">
        <v>2446</v>
      </c>
      <c r="J1857" t="s">
        <v>2522</v>
      </c>
      <c r="K1857" t="s">
        <v>2572</v>
      </c>
      <c r="L1857" t="s">
        <v>2600</v>
      </c>
      <c r="M1857" t="s">
        <v>2619</v>
      </c>
    </row>
    <row r="1858" spans="1:13">
      <c r="A1858" s="1">
        <f>HYPERLINK("https://lsnyc.legalserver.org/matter/dynamic-profile/view/1871487","18-1871487")</f>
        <v>0</v>
      </c>
      <c r="B1858" t="s">
        <v>15</v>
      </c>
      <c r="C1858" t="s">
        <v>49</v>
      </c>
      <c r="D1858" t="s">
        <v>1473</v>
      </c>
      <c r="E1858" t="s">
        <v>2390</v>
      </c>
      <c r="F1858" t="s">
        <v>2437</v>
      </c>
      <c r="G1858" t="s">
        <v>2444</v>
      </c>
      <c r="I1858" t="s">
        <v>2446</v>
      </c>
      <c r="J1858" t="s">
        <v>2453</v>
      </c>
      <c r="K1858" t="s">
        <v>2572</v>
      </c>
      <c r="M1858" t="s">
        <v>2626</v>
      </c>
    </row>
    <row r="1859" spans="1:13">
      <c r="A1859" s="1">
        <f>HYPERLINK("https://lsnyc.legalserver.org/matter/dynamic-profile/view/1871513","18-1871513")</f>
        <v>0</v>
      </c>
      <c r="B1859" t="s">
        <v>17</v>
      </c>
      <c r="C1859" t="s">
        <v>36</v>
      </c>
      <c r="D1859" t="s">
        <v>1474</v>
      </c>
      <c r="E1859" t="s">
        <v>2375</v>
      </c>
      <c r="F1859" t="s">
        <v>2437</v>
      </c>
      <c r="I1859" t="s">
        <v>2446</v>
      </c>
      <c r="J1859" t="s">
        <v>2449</v>
      </c>
      <c r="K1859" t="s">
        <v>2569</v>
      </c>
      <c r="M1859" t="s">
        <v>2617</v>
      </c>
    </row>
    <row r="1860" spans="1:13">
      <c r="A1860" s="1">
        <f>HYPERLINK("https://lsnyc.legalserver.org/matter/dynamic-profile/view/1865601","18-1865601")</f>
        <v>0</v>
      </c>
      <c r="B1860" t="s">
        <v>16</v>
      </c>
      <c r="C1860" t="s">
        <v>23</v>
      </c>
      <c r="D1860" t="s">
        <v>1475</v>
      </c>
      <c r="E1860" t="s">
        <v>2390</v>
      </c>
      <c r="F1860" t="s">
        <v>2437</v>
      </c>
      <c r="I1860" t="s">
        <v>2446</v>
      </c>
      <c r="J1860" t="s">
        <v>2448</v>
      </c>
      <c r="K1860" t="s">
        <v>2569</v>
      </c>
      <c r="L1860" t="s">
        <v>2601</v>
      </c>
      <c r="M1860" t="s">
        <v>2631</v>
      </c>
    </row>
    <row r="1861" spans="1:13">
      <c r="A1861" s="1">
        <f>HYPERLINK("https://lsnyc.legalserver.org/matter/dynamic-profile/view/1871428","18-1871428")</f>
        <v>0</v>
      </c>
      <c r="B1861" t="s">
        <v>15</v>
      </c>
      <c r="C1861" t="s">
        <v>31</v>
      </c>
      <c r="D1861" t="s">
        <v>1476</v>
      </c>
      <c r="E1861" t="s">
        <v>2426</v>
      </c>
      <c r="F1861" t="s">
        <v>2437</v>
      </c>
      <c r="I1861" t="s">
        <v>2446</v>
      </c>
      <c r="J1861" t="s">
        <v>2449</v>
      </c>
      <c r="K1861" t="s">
        <v>2572</v>
      </c>
      <c r="L1861" t="s">
        <v>2603</v>
      </c>
      <c r="M1861" t="s">
        <v>2627</v>
      </c>
    </row>
    <row r="1862" spans="1:13">
      <c r="A1862" s="1">
        <f>HYPERLINK("https://lsnyc.legalserver.org/matter/dynamic-profile/view/1871049","18-1871049")</f>
        <v>0</v>
      </c>
      <c r="B1862" t="s">
        <v>17</v>
      </c>
      <c r="C1862" t="s">
        <v>28</v>
      </c>
      <c r="D1862" t="s">
        <v>1357</v>
      </c>
      <c r="E1862" t="s">
        <v>2374</v>
      </c>
      <c r="F1862" t="s">
        <v>2438</v>
      </c>
      <c r="I1862" t="s">
        <v>2446</v>
      </c>
      <c r="J1862" t="s">
        <v>2465</v>
      </c>
      <c r="K1862" t="s">
        <v>2569</v>
      </c>
      <c r="M1862" t="s">
        <v>2616</v>
      </c>
    </row>
    <row r="1863" spans="1:13">
      <c r="A1863" s="1">
        <f>HYPERLINK("https://lsnyc.legalserver.org/matter/dynamic-profile/view/1871415","18-1871415")</f>
        <v>0</v>
      </c>
      <c r="B1863" t="s">
        <v>14</v>
      </c>
      <c r="C1863" t="s">
        <v>20</v>
      </c>
      <c r="D1863" t="s">
        <v>1477</v>
      </c>
      <c r="E1863" t="s">
        <v>2418</v>
      </c>
      <c r="F1863" t="s">
        <v>2437</v>
      </c>
      <c r="J1863" t="s">
        <v>2450</v>
      </c>
      <c r="K1863" t="s">
        <v>2569</v>
      </c>
      <c r="L1863" t="s">
        <v>2600</v>
      </c>
      <c r="M1863" t="s">
        <v>2617</v>
      </c>
    </row>
    <row r="1864" spans="1:13">
      <c r="A1864" s="1">
        <f>HYPERLINK("https://lsnyc.legalserver.org/matter/dynamic-profile/view/1871901","18-1871901")</f>
        <v>0</v>
      </c>
      <c r="B1864" t="s">
        <v>17</v>
      </c>
      <c r="C1864" t="s">
        <v>28</v>
      </c>
      <c r="D1864" t="s">
        <v>1478</v>
      </c>
      <c r="E1864" t="s">
        <v>2374</v>
      </c>
      <c r="F1864" t="s">
        <v>2438</v>
      </c>
      <c r="I1864" t="s">
        <v>2446</v>
      </c>
      <c r="J1864" t="s">
        <v>2485</v>
      </c>
      <c r="K1864" t="s">
        <v>2572</v>
      </c>
      <c r="L1864" t="s">
        <v>2600</v>
      </c>
      <c r="M1864" t="s">
        <v>2616</v>
      </c>
    </row>
    <row r="1865" spans="1:13">
      <c r="A1865" s="1">
        <f>HYPERLINK("https://lsnyc.legalserver.org/matter/dynamic-profile/view/1871044","18-1871044")</f>
        <v>0</v>
      </c>
      <c r="B1865" t="s">
        <v>19</v>
      </c>
      <c r="C1865" t="s">
        <v>62</v>
      </c>
      <c r="D1865" t="s">
        <v>1479</v>
      </c>
      <c r="E1865" t="s">
        <v>2375</v>
      </c>
      <c r="F1865" t="s">
        <v>2439</v>
      </c>
      <c r="I1865" t="s">
        <v>2446</v>
      </c>
      <c r="J1865" t="s">
        <v>2471</v>
      </c>
      <c r="K1865" t="s">
        <v>2571</v>
      </c>
      <c r="L1865" t="s">
        <v>2601</v>
      </c>
      <c r="M1865" t="s">
        <v>2631</v>
      </c>
    </row>
    <row r="1866" spans="1:13">
      <c r="A1866" s="1">
        <f>HYPERLINK("https://lsnyc.legalserver.org/matter/dynamic-profile/view/1871055","18-1871055")</f>
        <v>0</v>
      </c>
      <c r="B1866" t="s">
        <v>19</v>
      </c>
      <c r="C1866" t="s">
        <v>62</v>
      </c>
      <c r="D1866" t="s">
        <v>1480</v>
      </c>
      <c r="E1866" t="s">
        <v>2375</v>
      </c>
      <c r="F1866" t="s">
        <v>2439</v>
      </c>
      <c r="I1866" t="s">
        <v>2446</v>
      </c>
      <c r="J1866" t="s">
        <v>2471</v>
      </c>
      <c r="K1866" t="s">
        <v>2571</v>
      </c>
      <c r="L1866" t="s">
        <v>2601</v>
      </c>
      <c r="M1866" t="s">
        <v>2631</v>
      </c>
    </row>
    <row r="1867" spans="1:13">
      <c r="A1867" s="1">
        <f>HYPERLINK("https://lsnyc.legalserver.org/matter/dynamic-profile/view/1870990","18-1870990")</f>
        <v>0</v>
      </c>
      <c r="B1867" t="s">
        <v>18</v>
      </c>
      <c r="C1867" t="s">
        <v>27</v>
      </c>
      <c r="D1867" t="s">
        <v>1481</v>
      </c>
      <c r="E1867" t="s">
        <v>2370</v>
      </c>
      <c r="F1867" t="s">
        <v>2440</v>
      </c>
      <c r="I1867" t="s">
        <v>2446</v>
      </c>
      <c r="J1867" t="s">
        <v>2547</v>
      </c>
      <c r="K1867" t="s">
        <v>2572</v>
      </c>
      <c r="L1867" t="s">
        <v>2602</v>
      </c>
      <c r="M1867" t="s">
        <v>2631</v>
      </c>
    </row>
    <row r="1868" spans="1:13">
      <c r="A1868" s="1">
        <f>HYPERLINK("https://lsnyc.legalserver.org/matter/dynamic-profile/view/1871003","18-1871003")</f>
        <v>0</v>
      </c>
      <c r="B1868" t="s">
        <v>16</v>
      </c>
      <c r="C1868" t="s">
        <v>23</v>
      </c>
      <c r="D1868" t="s">
        <v>1482</v>
      </c>
      <c r="E1868" t="s">
        <v>2370</v>
      </c>
      <c r="F1868" t="s">
        <v>2437</v>
      </c>
      <c r="G1868" t="s">
        <v>2444</v>
      </c>
      <c r="I1868" t="s">
        <v>2446</v>
      </c>
      <c r="J1868" t="s">
        <v>2452</v>
      </c>
      <c r="K1868" t="s">
        <v>2572</v>
      </c>
      <c r="M1868" t="s">
        <v>2638</v>
      </c>
    </row>
    <row r="1869" spans="1:13">
      <c r="A1869" s="1">
        <f>HYPERLINK("https://lsnyc.legalserver.org/matter/dynamic-profile/view/1871019","18-1871019")</f>
        <v>0</v>
      </c>
      <c r="B1869" t="s">
        <v>17</v>
      </c>
      <c r="C1869" t="s">
        <v>42</v>
      </c>
      <c r="D1869" t="s">
        <v>1483</v>
      </c>
      <c r="E1869" t="s">
        <v>2397</v>
      </c>
      <c r="F1869" t="s">
        <v>2438</v>
      </c>
      <c r="I1869" t="s">
        <v>2446</v>
      </c>
      <c r="J1869" t="s">
        <v>2457</v>
      </c>
      <c r="K1869" t="s">
        <v>2569</v>
      </c>
      <c r="M1869" t="s">
        <v>2616</v>
      </c>
    </row>
    <row r="1870" spans="1:13">
      <c r="A1870" s="1">
        <f>HYPERLINK("https://lsnyc.legalserver.org/matter/dynamic-profile/view/1870924","18-1870924")</f>
        <v>0</v>
      </c>
      <c r="B1870" t="s">
        <v>16</v>
      </c>
      <c r="C1870" t="s">
        <v>23</v>
      </c>
      <c r="D1870" t="s">
        <v>1484</v>
      </c>
      <c r="E1870" t="s">
        <v>2370</v>
      </c>
      <c r="F1870" t="s">
        <v>2437</v>
      </c>
      <c r="I1870" t="s">
        <v>2446</v>
      </c>
      <c r="J1870" t="s">
        <v>2467</v>
      </c>
      <c r="K1870" t="s">
        <v>2572</v>
      </c>
      <c r="L1870" t="s">
        <v>2601</v>
      </c>
      <c r="M1870" t="s">
        <v>2631</v>
      </c>
    </row>
    <row r="1871" spans="1:13">
      <c r="A1871" s="1">
        <f>HYPERLINK("https://lsnyc.legalserver.org/matter/dynamic-profile/view/1870967","18-1870967")</f>
        <v>0</v>
      </c>
      <c r="B1871" t="s">
        <v>14</v>
      </c>
      <c r="C1871" t="s">
        <v>43</v>
      </c>
      <c r="D1871" t="s">
        <v>1485</v>
      </c>
      <c r="E1871" t="s">
        <v>2383</v>
      </c>
      <c r="F1871" t="s">
        <v>2440</v>
      </c>
      <c r="I1871" t="s">
        <v>2446</v>
      </c>
      <c r="J1871" t="s">
        <v>2518</v>
      </c>
      <c r="K1871" t="s">
        <v>2572</v>
      </c>
      <c r="L1871" t="s">
        <v>2601</v>
      </c>
      <c r="M1871" t="s">
        <v>2631</v>
      </c>
    </row>
    <row r="1872" spans="1:13">
      <c r="A1872" s="1">
        <f>HYPERLINK("https://lsnyc.legalserver.org/matter/dynamic-profile/view/1870882","18-1870882")</f>
        <v>0</v>
      </c>
      <c r="B1872" t="s">
        <v>16</v>
      </c>
      <c r="C1872" t="s">
        <v>23</v>
      </c>
      <c r="D1872" t="s">
        <v>1486</v>
      </c>
      <c r="E1872" t="s">
        <v>2390</v>
      </c>
      <c r="F1872" t="s">
        <v>2437</v>
      </c>
      <c r="I1872" t="s">
        <v>2446</v>
      </c>
      <c r="J1872" t="s">
        <v>2477</v>
      </c>
      <c r="M1872" t="s">
        <v>2619</v>
      </c>
    </row>
    <row r="1873" spans="1:13">
      <c r="A1873" s="1">
        <f>HYPERLINK("https://lsnyc.legalserver.org/matter/dynamic-profile/view/1870959","18-1870959")</f>
        <v>0</v>
      </c>
      <c r="B1873" t="s">
        <v>16</v>
      </c>
      <c r="C1873" t="s">
        <v>23</v>
      </c>
      <c r="D1873" t="s">
        <v>883</v>
      </c>
      <c r="E1873" t="s">
        <v>2370</v>
      </c>
      <c r="F1873" t="s">
        <v>2437</v>
      </c>
      <c r="I1873" t="s">
        <v>2446</v>
      </c>
      <c r="J1873" t="s">
        <v>2452</v>
      </c>
      <c r="K1873" t="s">
        <v>2572</v>
      </c>
      <c r="M1873" t="s">
        <v>2638</v>
      </c>
    </row>
    <row r="1874" spans="1:13">
      <c r="A1874" s="1">
        <f>HYPERLINK("https://lsnyc.legalserver.org/matter/dynamic-profile/view/1871009","18-1871009")</f>
        <v>0</v>
      </c>
      <c r="B1874" t="s">
        <v>17</v>
      </c>
      <c r="C1874" t="s">
        <v>36</v>
      </c>
      <c r="D1874" t="s">
        <v>1487</v>
      </c>
      <c r="E1874" t="s">
        <v>2406</v>
      </c>
      <c r="F1874" t="s">
        <v>2437</v>
      </c>
      <c r="I1874" t="s">
        <v>2446</v>
      </c>
      <c r="J1874" t="s">
        <v>2480</v>
      </c>
      <c r="K1874" t="s">
        <v>2572</v>
      </c>
      <c r="L1874" t="s">
        <v>2600</v>
      </c>
      <c r="M1874" t="s">
        <v>2642</v>
      </c>
    </row>
    <row r="1875" spans="1:13">
      <c r="A1875" s="1">
        <f>HYPERLINK("https://lsnyc.legalserver.org/matter/dynamic-profile/view/1871015","18-1871015")</f>
        <v>0</v>
      </c>
      <c r="B1875" t="s">
        <v>17</v>
      </c>
      <c r="C1875" t="s">
        <v>36</v>
      </c>
      <c r="D1875" t="s">
        <v>809</v>
      </c>
      <c r="E1875" t="s">
        <v>2406</v>
      </c>
      <c r="F1875" t="s">
        <v>2437</v>
      </c>
      <c r="I1875" t="s">
        <v>2446</v>
      </c>
      <c r="J1875" t="s">
        <v>2447</v>
      </c>
      <c r="K1875" t="s">
        <v>2569</v>
      </c>
      <c r="L1875" t="s">
        <v>2600</v>
      </c>
      <c r="M1875" t="s">
        <v>2642</v>
      </c>
    </row>
    <row r="1876" spans="1:13">
      <c r="A1876" s="1">
        <f>HYPERLINK("https://lsnyc.legalserver.org/matter/dynamic-profile/view/1871017","18-1871017")</f>
        <v>0</v>
      </c>
      <c r="B1876" t="s">
        <v>17</v>
      </c>
      <c r="C1876" t="s">
        <v>28</v>
      </c>
      <c r="D1876" t="s">
        <v>1488</v>
      </c>
      <c r="E1876" t="s">
        <v>2397</v>
      </c>
      <c r="F1876" t="s">
        <v>2438</v>
      </c>
      <c r="I1876" t="s">
        <v>2446</v>
      </c>
      <c r="J1876" t="s">
        <v>2457</v>
      </c>
      <c r="K1876" t="s">
        <v>2569</v>
      </c>
      <c r="L1876" t="s">
        <v>2600</v>
      </c>
      <c r="M1876" t="s">
        <v>2616</v>
      </c>
    </row>
    <row r="1877" spans="1:13">
      <c r="A1877" s="1">
        <f>HYPERLINK("https://lsnyc.legalserver.org/matter/dynamic-profile/view/1870780","18-1870780")</f>
        <v>0</v>
      </c>
      <c r="B1877" t="s">
        <v>15</v>
      </c>
      <c r="C1877" t="s">
        <v>49</v>
      </c>
      <c r="D1877" t="s">
        <v>1489</v>
      </c>
      <c r="E1877" t="s">
        <v>2390</v>
      </c>
      <c r="F1877" t="s">
        <v>2439</v>
      </c>
      <c r="I1877" t="s">
        <v>2446</v>
      </c>
      <c r="J1877" t="s">
        <v>2455</v>
      </c>
      <c r="K1877" t="s">
        <v>2569</v>
      </c>
      <c r="L1877" t="s">
        <v>2601</v>
      </c>
      <c r="M1877" t="s">
        <v>2631</v>
      </c>
    </row>
    <row r="1878" spans="1:13">
      <c r="A1878" s="1">
        <f>HYPERLINK("https://lsnyc.legalserver.org/matter/dynamic-profile/view/1867556","18-1867556")</f>
        <v>0</v>
      </c>
      <c r="B1878" t="s">
        <v>17</v>
      </c>
      <c r="C1878" t="s">
        <v>56</v>
      </c>
      <c r="D1878" t="s">
        <v>1081</v>
      </c>
      <c r="E1878" t="s">
        <v>2387</v>
      </c>
      <c r="F1878" t="s">
        <v>2437</v>
      </c>
      <c r="I1878" t="s">
        <v>2446</v>
      </c>
      <c r="J1878" t="s">
        <v>2457</v>
      </c>
      <c r="K1878" t="s">
        <v>2569</v>
      </c>
      <c r="L1878" t="s">
        <v>2600</v>
      </c>
      <c r="M1878" t="s">
        <v>2629</v>
      </c>
    </row>
    <row r="1879" spans="1:13">
      <c r="A1879" s="1">
        <f>HYPERLINK("https://lsnyc.legalserver.org/matter/dynamic-profile/view/1870788","18-1870788")</f>
        <v>0</v>
      </c>
      <c r="B1879" t="s">
        <v>15</v>
      </c>
      <c r="C1879" t="s">
        <v>49</v>
      </c>
      <c r="D1879" t="s">
        <v>1490</v>
      </c>
      <c r="E1879" t="s">
        <v>2390</v>
      </c>
      <c r="F1879" t="s">
        <v>2439</v>
      </c>
      <c r="H1879" t="s">
        <v>2445</v>
      </c>
      <c r="J1879" t="s">
        <v>2499</v>
      </c>
      <c r="K1879" t="s">
        <v>2572</v>
      </c>
      <c r="M1879" t="s">
        <v>2631</v>
      </c>
    </row>
    <row r="1880" spans="1:13">
      <c r="A1880" s="1">
        <f>HYPERLINK("https://lsnyc.legalserver.org/matter/dynamic-profile/view/1870854","18-1870854")</f>
        <v>0</v>
      </c>
      <c r="B1880" t="s">
        <v>15</v>
      </c>
      <c r="C1880" t="s">
        <v>49</v>
      </c>
      <c r="D1880" t="s">
        <v>1491</v>
      </c>
      <c r="E1880" t="s">
        <v>2390</v>
      </c>
      <c r="F1880" t="s">
        <v>2437</v>
      </c>
      <c r="I1880" t="s">
        <v>2446</v>
      </c>
      <c r="J1880" t="s">
        <v>2476</v>
      </c>
      <c r="K1880" t="s">
        <v>2572</v>
      </c>
      <c r="M1880" t="s">
        <v>2619</v>
      </c>
    </row>
    <row r="1881" spans="1:13">
      <c r="A1881" s="1">
        <f>HYPERLINK("https://lsnyc.legalserver.org/matter/dynamic-profile/view/1867030","18-1867030")</f>
        <v>0</v>
      </c>
      <c r="B1881" t="s">
        <v>17</v>
      </c>
      <c r="C1881" t="s">
        <v>28</v>
      </c>
      <c r="D1881" t="s">
        <v>1492</v>
      </c>
      <c r="E1881" t="s">
        <v>2385</v>
      </c>
      <c r="F1881" t="s">
        <v>2438</v>
      </c>
      <c r="I1881" t="s">
        <v>2446</v>
      </c>
      <c r="J1881" t="s">
        <v>2450</v>
      </c>
      <c r="K1881" t="s">
        <v>2569</v>
      </c>
      <c r="L1881" t="s">
        <v>2600</v>
      </c>
      <c r="M1881" t="s">
        <v>2616</v>
      </c>
    </row>
    <row r="1882" spans="1:13">
      <c r="A1882" s="1">
        <f>HYPERLINK("https://lsnyc.legalserver.org/matter/dynamic-profile/view/1870554","18-1870554")</f>
        <v>0</v>
      </c>
      <c r="B1882" t="s">
        <v>16</v>
      </c>
      <c r="C1882" t="s">
        <v>23</v>
      </c>
      <c r="D1882" t="s">
        <v>1493</v>
      </c>
      <c r="E1882" t="s">
        <v>2372</v>
      </c>
      <c r="F1882" t="s">
        <v>2437</v>
      </c>
      <c r="I1882" t="s">
        <v>2446</v>
      </c>
      <c r="J1882" t="s">
        <v>2457</v>
      </c>
      <c r="M1882" t="s">
        <v>2613</v>
      </c>
    </row>
    <row r="1883" spans="1:13">
      <c r="A1883" s="1">
        <f>HYPERLINK("https://lsnyc.legalserver.org/matter/dynamic-profile/view/1870555","18-1870555")</f>
        <v>0</v>
      </c>
      <c r="B1883" t="s">
        <v>16</v>
      </c>
      <c r="C1883" t="s">
        <v>23</v>
      </c>
      <c r="D1883" t="s">
        <v>1493</v>
      </c>
      <c r="E1883" t="s">
        <v>2380</v>
      </c>
      <c r="F1883" t="s">
        <v>2437</v>
      </c>
      <c r="I1883" t="s">
        <v>2446</v>
      </c>
      <c r="J1883" t="s">
        <v>2457</v>
      </c>
      <c r="M1883" t="s">
        <v>2621</v>
      </c>
    </row>
    <row r="1884" spans="1:13">
      <c r="A1884" s="1">
        <f>HYPERLINK("https://lsnyc.legalserver.org/matter/dynamic-profile/view/1870557","18-1870557")</f>
        <v>0</v>
      </c>
      <c r="B1884" t="s">
        <v>16</v>
      </c>
      <c r="C1884" t="s">
        <v>23</v>
      </c>
      <c r="D1884" t="s">
        <v>1494</v>
      </c>
      <c r="E1884" t="s">
        <v>2372</v>
      </c>
      <c r="F1884" t="s">
        <v>2437</v>
      </c>
      <c r="I1884" t="s">
        <v>2446</v>
      </c>
      <c r="J1884" t="s">
        <v>2457</v>
      </c>
      <c r="M1884" t="s">
        <v>2613</v>
      </c>
    </row>
    <row r="1885" spans="1:13">
      <c r="A1885" s="1">
        <f>HYPERLINK("https://lsnyc.legalserver.org/matter/dynamic-profile/view/1870560","18-1870560")</f>
        <v>0</v>
      </c>
      <c r="B1885" t="s">
        <v>16</v>
      </c>
      <c r="C1885" t="s">
        <v>23</v>
      </c>
      <c r="D1885" t="s">
        <v>1494</v>
      </c>
      <c r="E1885" t="s">
        <v>2380</v>
      </c>
      <c r="F1885" t="s">
        <v>2437</v>
      </c>
      <c r="I1885" t="s">
        <v>2446</v>
      </c>
      <c r="J1885" t="s">
        <v>2457</v>
      </c>
      <c r="M1885" t="s">
        <v>2621</v>
      </c>
    </row>
    <row r="1886" spans="1:13">
      <c r="A1886" s="1">
        <f>HYPERLINK("https://lsnyc.legalserver.org/matter/dynamic-profile/view/1870438","18-1870438")</f>
        <v>0</v>
      </c>
      <c r="B1886" t="s">
        <v>16</v>
      </c>
      <c r="C1886" t="s">
        <v>23</v>
      </c>
      <c r="D1886" t="s">
        <v>1495</v>
      </c>
      <c r="E1886" t="s">
        <v>2393</v>
      </c>
      <c r="F1886" t="s">
        <v>2437</v>
      </c>
      <c r="I1886" t="s">
        <v>2446</v>
      </c>
      <c r="J1886" t="s">
        <v>2452</v>
      </c>
      <c r="L1886" t="s">
        <v>2604</v>
      </c>
      <c r="M1886" t="s">
        <v>2637</v>
      </c>
    </row>
    <row r="1887" spans="1:13">
      <c r="A1887" s="1">
        <f>HYPERLINK("https://lsnyc.legalserver.org/matter/dynamic-profile/view/1870512","18-1870512")</f>
        <v>0</v>
      </c>
      <c r="B1887" t="s">
        <v>18</v>
      </c>
      <c r="C1887" t="s">
        <v>35</v>
      </c>
      <c r="D1887" t="s">
        <v>1308</v>
      </c>
      <c r="E1887" t="s">
        <v>2390</v>
      </c>
      <c r="F1887" t="s">
        <v>2437</v>
      </c>
      <c r="J1887" t="s">
        <v>2524</v>
      </c>
      <c r="K1887" t="s">
        <v>2569</v>
      </c>
      <c r="L1887" t="s">
        <v>2603</v>
      </c>
      <c r="M1887" t="s">
        <v>2619</v>
      </c>
    </row>
    <row r="1888" spans="1:13">
      <c r="A1888" s="1">
        <f>HYPERLINK("https://lsnyc.legalserver.org/matter/dynamic-profile/view/1870550","18-1870550")</f>
        <v>0</v>
      </c>
      <c r="B1888" t="s">
        <v>16</v>
      </c>
      <c r="C1888" t="s">
        <v>46</v>
      </c>
      <c r="D1888" t="s">
        <v>1496</v>
      </c>
      <c r="E1888" t="s">
        <v>2387</v>
      </c>
      <c r="F1888" t="s">
        <v>2437</v>
      </c>
      <c r="I1888" t="s">
        <v>2446</v>
      </c>
      <c r="J1888" t="s">
        <v>2447</v>
      </c>
      <c r="K1888" t="s">
        <v>2572</v>
      </c>
      <c r="M1888" t="s">
        <v>2629</v>
      </c>
    </row>
    <row r="1889" spans="1:13">
      <c r="A1889" s="1">
        <f>HYPERLINK("https://lsnyc.legalserver.org/matter/dynamic-profile/view/1870551","18-1870551")</f>
        <v>0</v>
      </c>
      <c r="B1889" t="s">
        <v>16</v>
      </c>
      <c r="C1889" t="s">
        <v>23</v>
      </c>
      <c r="D1889" t="s">
        <v>1497</v>
      </c>
      <c r="E1889" t="s">
        <v>2406</v>
      </c>
      <c r="F1889" t="s">
        <v>2437</v>
      </c>
      <c r="I1889" t="s">
        <v>2446</v>
      </c>
      <c r="J1889" t="s">
        <v>2449</v>
      </c>
      <c r="K1889" t="s">
        <v>2569</v>
      </c>
      <c r="M1889" t="s">
        <v>2642</v>
      </c>
    </row>
    <row r="1890" spans="1:13">
      <c r="A1890" s="1">
        <f>HYPERLINK("https://lsnyc.legalserver.org/matter/dynamic-profile/view/1870344","18-1870344")</f>
        <v>0</v>
      </c>
      <c r="B1890" t="s">
        <v>16</v>
      </c>
      <c r="C1890" t="s">
        <v>23</v>
      </c>
      <c r="D1890" t="s">
        <v>1498</v>
      </c>
      <c r="E1890" t="s">
        <v>2390</v>
      </c>
      <c r="F1890" t="s">
        <v>2439</v>
      </c>
      <c r="I1890" t="s">
        <v>2446</v>
      </c>
      <c r="J1890" t="s">
        <v>2455</v>
      </c>
      <c r="K1890" t="s">
        <v>2569</v>
      </c>
      <c r="L1890" t="s">
        <v>2601</v>
      </c>
      <c r="M1890" t="s">
        <v>2631</v>
      </c>
    </row>
    <row r="1891" spans="1:13">
      <c r="A1891" s="1">
        <f>HYPERLINK("https://lsnyc.legalserver.org/matter/dynamic-profile/view/1870322","18-1870322")</f>
        <v>0</v>
      </c>
      <c r="B1891" t="s">
        <v>19</v>
      </c>
      <c r="C1891" t="s">
        <v>50</v>
      </c>
      <c r="D1891" t="s">
        <v>1499</v>
      </c>
      <c r="E1891" t="s">
        <v>2419</v>
      </c>
      <c r="F1891" t="s">
        <v>2437</v>
      </c>
      <c r="I1891" t="s">
        <v>2446</v>
      </c>
      <c r="J1891" t="s">
        <v>2530</v>
      </c>
      <c r="K1891" t="s">
        <v>2582</v>
      </c>
      <c r="L1891" t="s">
        <v>2603</v>
      </c>
      <c r="M1891" t="s">
        <v>2633</v>
      </c>
    </row>
    <row r="1892" spans="1:13">
      <c r="A1892" s="1">
        <f>HYPERLINK("https://lsnyc.legalserver.org/matter/dynamic-profile/view/1870347","18-1870347")</f>
        <v>0</v>
      </c>
      <c r="B1892" t="s">
        <v>16</v>
      </c>
      <c r="C1892" t="s">
        <v>24</v>
      </c>
      <c r="D1892" t="s">
        <v>1500</v>
      </c>
      <c r="E1892" t="s">
        <v>2390</v>
      </c>
      <c r="F1892" t="s">
        <v>2439</v>
      </c>
      <c r="I1892" t="s">
        <v>2446</v>
      </c>
      <c r="J1892" t="s">
        <v>2454</v>
      </c>
      <c r="K1892" t="s">
        <v>2572</v>
      </c>
      <c r="L1892" t="s">
        <v>2601</v>
      </c>
      <c r="M1892" t="s">
        <v>2631</v>
      </c>
    </row>
    <row r="1893" spans="1:13">
      <c r="A1893" s="1">
        <f>HYPERLINK("https://lsnyc.legalserver.org/matter/dynamic-profile/view/1870355","18-1870355")</f>
        <v>0</v>
      </c>
      <c r="B1893" t="s">
        <v>15</v>
      </c>
      <c r="C1893" t="s">
        <v>49</v>
      </c>
      <c r="D1893" t="s">
        <v>1501</v>
      </c>
      <c r="E1893" t="s">
        <v>2394</v>
      </c>
      <c r="F1893" t="s">
        <v>2439</v>
      </c>
      <c r="H1893" t="s">
        <v>2445</v>
      </c>
      <c r="J1893" t="s">
        <v>2471</v>
      </c>
      <c r="K1893" t="s">
        <v>2572</v>
      </c>
      <c r="M1893" t="s">
        <v>2631</v>
      </c>
    </row>
    <row r="1894" spans="1:13">
      <c r="A1894" s="1">
        <f>HYPERLINK("https://lsnyc.legalserver.org/matter/dynamic-profile/view/1870271","18-1870271")</f>
        <v>0</v>
      </c>
      <c r="B1894" t="s">
        <v>18</v>
      </c>
      <c r="C1894" t="s">
        <v>34</v>
      </c>
      <c r="D1894" t="s">
        <v>1502</v>
      </c>
      <c r="E1894" t="s">
        <v>2394</v>
      </c>
      <c r="F1894" t="s">
        <v>2439</v>
      </c>
      <c r="I1894" t="s">
        <v>2446</v>
      </c>
      <c r="J1894" t="s">
        <v>2518</v>
      </c>
      <c r="K1894" t="s">
        <v>2572</v>
      </c>
      <c r="L1894" t="s">
        <v>2602</v>
      </c>
      <c r="M1894" t="s">
        <v>2631</v>
      </c>
    </row>
    <row r="1895" spans="1:13">
      <c r="A1895" s="1">
        <f>HYPERLINK("https://lsnyc.legalserver.org/matter/dynamic-profile/view/1870258","18-1870258")</f>
        <v>0</v>
      </c>
      <c r="B1895" t="s">
        <v>16</v>
      </c>
      <c r="C1895" t="s">
        <v>23</v>
      </c>
      <c r="D1895" t="s">
        <v>1503</v>
      </c>
      <c r="E1895" t="s">
        <v>2390</v>
      </c>
      <c r="F1895" t="s">
        <v>2439</v>
      </c>
      <c r="I1895" t="s">
        <v>2446</v>
      </c>
      <c r="J1895" t="s">
        <v>2455</v>
      </c>
      <c r="K1895" t="s">
        <v>2569</v>
      </c>
      <c r="L1895" t="s">
        <v>2601</v>
      </c>
      <c r="M1895" t="s">
        <v>2631</v>
      </c>
    </row>
    <row r="1896" spans="1:13">
      <c r="A1896" s="1">
        <f>HYPERLINK("https://lsnyc.legalserver.org/matter/dynamic-profile/view/1870239","18-1870239")</f>
        <v>0</v>
      </c>
      <c r="B1896" t="s">
        <v>16</v>
      </c>
      <c r="C1896" t="s">
        <v>23</v>
      </c>
      <c r="D1896" t="s">
        <v>1504</v>
      </c>
      <c r="E1896" t="s">
        <v>2390</v>
      </c>
      <c r="F1896" t="s">
        <v>2437</v>
      </c>
      <c r="I1896" t="s">
        <v>2446</v>
      </c>
      <c r="J1896" t="s">
        <v>2463</v>
      </c>
      <c r="K1896" t="s">
        <v>2572</v>
      </c>
      <c r="M1896" t="s">
        <v>2619</v>
      </c>
    </row>
    <row r="1897" spans="1:13">
      <c r="A1897" s="1">
        <f>HYPERLINK("https://lsnyc.legalserver.org/matter/dynamic-profile/view/1870240","18-1870240")</f>
        <v>0</v>
      </c>
      <c r="B1897" t="s">
        <v>18</v>
      </c>
      <c r="C1897" t="s">
        <v>34</v>
      </c>
      <c r="D1897" t="s">
        <v>988</v>
      </c>
      <c r="E1897" t="s">
        <v>2374</v>
      </c>
      <c r="F1897" t="s">
        <v>2438</v>
      </c>
      <c r="I1897" t="s">
        <v>2446</v>
      </c>
      <c r="J1897" t="s">
        <v>2487</v>
      </c>
      <c r="K1897" t="s">
        <v>2582</v>
      </c>
      <c r="M1897" t="s">
        <v>2616</v>
      </c>
    </row>
    <row r="1898" spans="1:13">
      <c r="A1898" s="1">
        <f>HYPERLINK("https://lsnyc.legalserver.org/matter/dynamic-profile/view/1870082","18-1870082")</f>
        <v>0</v>
      </c>
      <c r="B1898" t="s">
        <v>14</v>
      </c>
      <c r="C1898" t="s">
        <v>33</v>
      </c>
      <c r="D1898" t="s">
        <v>1505</v>
      </c>
      <c r="E1898" t="s">
        <v>2405</v>
      </c>
      <c r="F1898" t="s">
        <v>2437</v>
      </c>
      <c r="I1898" t="s">
        <v>2446</v>
      </c>
      <c r="J1898" t="s">
        <v>2448</v>
      </c>
      <c r="L1898" t="s">
        <v>2602</v>
      </c>
      <c r="M1898" t="s">
        <v>2613</v>
      </c>
    </row>
    <row r="1899" spans="1:13">
      <c r="A1899" s="1">
        <f>HYPERLINK("https://lsnyc.legalserver.org/matter/dynamic-profile/view/1870108","18-1870108")</f>
        <v>0</v>
      </c>
      <c r="B1899" t="s">
        <v>16</v>
      </c>
      <c r="C1899" t="s">
        <v>23</v>
      </c>
      <c r="D1899" t="s">
        <v>614</v>
      </c>
      <c r="E1899" t="s">
        <v>2375</v>
      </c>
      <c r="F1899" t="s">
        <v>2437</v>
      </c>
      <c r="G1899" t="s">
        <v>2444</v>
      </c>
      <c r="I1899" t="s">
        <v>2446</v>
      </c>
      <c r="J1899" t="s">
        <v>2488</v>
      </c>
      <c r="K1899" t="s">
        <v>2569</v>
      </c>
      <c r="M1899" t="s">
        <v>2617</v>
      </c>
    </row>
    <row r="1900" spans="1:13">
      <c r="A1900" s="1">
        <f>HYPERLINK("https://lsnyc.legalserver.org/matter/dynamic-profile/view/1870143","18-1870143")</f>
        <v>0</v>
      </c>
      <c r="B1900" t="s">
        <v>16</v>
      </c>
      <c r="C1900" t="s">
        <v>23</v>
      </c>
      <c r="D1900" t="s">
        <v>1506</v>
      </c>
      <c r="E1900" t="s">
        <v>2390</v>
      </c>
      <c r="F1900" t="s">
        <v>2437</v>
      </c>
      <c r="I1900" t="s">
        <v>2446</v>
      </c>
      <c r="J1900" t="s">
        <v>2447</v>
      </c>
      <c r="K1900" t="s">
        <v>2569</v>
      </c>
      <c r="M1900" t="s">
        <v>2626</v>
      </c>
    </row>
    <row r="1901" spans="1:13">
      <c r="A1901" s="1">
        <f>HYPERLINK("https://lsnyc.legalserver.org/matter/dynamic-profile/view/1870168","18-1870168")</f>
        <v>0</v>
      </c>
      <c r="B1901" t="s">
        <v>19</v>
      </c>
      <c r="C1901" t="s">
        <v>50</v>
      </c>
      <c r="D1901" t="s">
        <v>1507</v>
      </c>
      <c r="E1901" t="s">
        <v>2375</v>
      </c>
      <c r="F1901" t="s">
        <v>2437</v>
      </c>
      <c r="I1901" t="s">
        <v>2446</v>
      </c>
      <c r="J1901" t="s">
        <v>2490</v>
      </c>
      <c r="K1901" t="s">
        <v>2572</v>
      </c>
      <c r="L1901" t="s">
        <v>2600</v>
      </c>
      <c r="M1901" t="s">
        <v>2617</v>
      </c>
    </row>
    <row r="1902" spans="1:13">
      <c r="A1902" s="1">
        <f>HYPERLINK("https://lsnyc.legalserver.org/matter/dynamic-profile/view/1867281","18-1867281")</f>
        <v>0</v>
      </c>
      <c r="B1902" t="s">
        <v>16</v>
      </c>
      <c r="C1902" t="s">
        <v>23</v>
      </c>
      <c r="D1902" t="s">
        <v>1508</v>
      </c>
      <c r="E1902" t="s">
        <v>2390</v>
      </c>
      <c r="F1902" t="s">
        <v>2437</v>
      </c>
      <c r="I1902" t="s">
        <v>2446</v>
      </c>
      <c r="J1902" t="s">
        <v>2467</v>
      </c>
      <c r="K1902" t="s">
        <v>2572</v>
      </c>
      <c r="M1902" t="s">
        <v>2626</v>
      </c>
    </row>
    <row r="1903" spans="1:13">
      <c r="A1903" s="1">
        <f>HYPERLINK("https://lsnyc.legalserver.org/matter/dynamic-profile/view/1869894","18-1869894")</f>
        <v>0</v>
      </c>
      <c r="B1903" t="s">
        <v>16</v>
      </c>
      <c r="C1903" t="s">
        <v>23</v>
      </c>
      <c r="D1903" t="s">
        <v>1509</v>
      </c>
      <c r="E1903" t="s">
        <v>2390</v>
      </c>
      <c r="F1903" t="s">
        <v>2439</v>
      </c>
      <c r="I1903" t="s">
        <v>2446</v>
      </c>
      <c r="J1903" t="s">
        <v>2448</v>
      </c>
      <c r="K1903" t="s">
        <v>2569</v>
      </c>
      <c r="L1903" t="s">
        <v>2601</v>
      </c>
      <c r="M1903" t="s">
        <v>2631</v>
      </c>
    </row>
    <row r="1904" spans="1:13">
      <c r="A1904" s="1">
        <f>HYPERLINK("https://lsnyc.legalserver.org/matter/dynamic-profile/view/1869878","18-1869878")</f>
        <v>0</v>
      </c>
      <c r="B1904" t="s">
        <v>19</v>
      </c>
      <c r="C1904" t="s">
        <v>62</v>
      </c>
      <c r="D1904" t="s">
        <v>1510</v>
      </c>
      <c r="E1904" t="s">
        <v>2375</v>
      </c>
      <c r="F1904" t="s">
        <v>2437</v>
      </c>
      <c r="I1904" t="s">
        <v>2446</v>
      </c>
      <c r="J1904" t="s">
        <v>2471</v>
      </c>
      <c r="K1904" t="s">
        <v>2571</v>
      </c>
      <c r="L1904" t="s">
        <v>2601</v>
      </c>
      <c r="M1904" t="s">
        <v>2631</v>
      </c>
    </row>
    <row r="1905" spans="1:14">
      <c r="A1905" s="1">
        <f>HYPERLINK("https://lsnyc.legalserver.org/matter/dynamic-profile/view/1869901","18-1869901")</f>
        <v>0</v>
      </c>
      <c r="B1905" t="s">
        <v>18</v>
      </c>
      <c r="C1905" t="s">
        <v>35</v>
      </c>
      <c r="D1905" t="s">
        <v>1511</v>
      </c>
      <c r="E1905" t="s">
        <v>2381</v>
      </c>
      <c r="F1905" t="s">
        <v>2437</v>
      </c>
      <c r="I1905" t="s">
        <v>2446</v>
      </c>
      <c r="J1905" t="s">
        <v>2466</v>
      </c>
      <c r="K1905" t="s">
        <v>2572</v>
      </c>
      <c r="L1905" t="s">
        <v>2601</v>
      </c>
      <c r="M1905" t="s">
        <v>2631</v>
      </c>
    </row>
    <row r="1906" spans="1:14">
      <c r="A1906" s="1">
        <f>HYPERLINK("https://lsnyc.legalserver.org/matter/dynamic-profile/view/1869892","18-1869892")</f>
        <v>0</v>
      </c>
      <c r="B1906" t="s">
        <v>16</v>
      </c>
      <c r="C1906" t="s">
        <v>23</v>
      </c>
      <c r="D1906" t="s">
        <v>1512</v>
      </c>
      <c r="E1906" t="s">
        <v>2390</v>
      </c>
      <c r="F1906" t="s">
        <v>2437</v>
      </c>
      <c r="I1906" t="s">
        <v>2446</v>
      </c>
      <c r="J1906" t="s">
        <v>2455</v>
      </c>
      <c r="K1906" t="s">
        <v>2572</v>
      </c>
      <c r="M1906" t="s">
        <v>2626</v>
      </c>
    </row>
    <row r="1907" spans="1:14">
      <c r="A1907" s="1">
        <f>HYPERLINK("https://lsnyc.legalserver.org/matter/dynamic-profile/view/1869779","18-1869779")</f>
        <v>0</v>
      </c>
      <c r="B1907" t="s">
        <v>18</v>
      </c>
      <c r="C1907" t="s">
        <v>35</v>
      </c>
      <c r="D1907" t="s">
        <v>1513</v>
      </c>
      <c r="E1907" t="s">
        <v>2394</v>
      </c>
      <c r="F1907" t="s">
        <v>2439</v>
      </c>
      <c r="J1907" t="s">
        <v>2461</v>
      </c>
      <c r="K1907" t="s">
        <v>2592</v>
      </c>
      <c r="L1907" t="s">
        <v>2601</v>
      </c>
      <c r="M1907" t="s">
        <v>2631</v>
      </c>
    </row>
    <row r="1908" spans="1:14">
      <c r="A1908" s="1">
        <f>HYPERLINK("https://lsnyc.legalserver.org/matter/dynamic-profile/view/1869757","18-1869757")</f>
        <v>0</v>
      </c>
      <c r="B1908" t="s">
        <v>16</v>
      </c>
      <c r="C1908" t="s">
        <v>24</v>
      </c>
      <c r="D1908" t="s">
        <v>1514</v>
      </c>
      <c r="E1908" t="s">
        <v>2390</v>
      </c>
      <c r="F1908" t="s">
        <v>2440</v>
      </c>
      <c r="I1908" t="s">
        <v>2446</v>
      </c>
      <c r="J1908" t="s">
        <v>2448</v>
      </c>
      <c r="K1908" t="s">
        <v>2569</v>
      </c>
      <c r="L1908" t="s">
        <v>2601</v>
      </c>
      <c r="M1908" t="s">
        <v>2631</v>
      </c>
    </row>
    <row r="1909" spans="1:14">
      <c r="A1909" s="1">
        <f>HYPERLINK("https://lsnyc.legalserver.org/matter/dynamic-profile/view/1869547","18-1869547")</f>
        <v>0</v>
      </c>
      <c r="B1909" t="s">
        <v>18</v>
      </c>
      <c r="C1909" t="s">
        <v>35</v>
      </c>
      <c r="D1909" t="s">
        <v>1515</v>
      </c>
      <c r="E1909" t="s">
        <v>2394</v>
      </c>
      <c r="F1909" t="s">
        <v>2439</v>
      </c>
      <c r="I1909" t="s">
        <v>2446</v>
      </c>
      <c r="J1909" t="s">
        <v>2448</v>
      </c>
      <c r="K1909" t="s">
        <v>2572</v>
      </c>
      <c r="L1909" t="s">
        <v>2602</v>
      </c>
      <c r="M1909" t="s">
        <v>2631</v>
      </c>
    </row>
    <row r="1910" spans="1:14">
      <c r="A1910" s="1">
        <f>HYPERLINK("https://lsnyc.legalserver.org/matter/dynamic-profile/view/1869573","18-1869573")</f>
        <v>0</v>
      </c>
      <c r="B1910" t="s">
        <v>15</v>
      </c>
      <c r="C1910" t="s">
        <v>37</v>
      </c>
      <c r="D1910" t="s">
        <v>1516</v>
      </c>
      <c r="E1910" t="s">
        <v>2376</v>
      </c>
      <c r="F1910" t="s">
        <v>2437</v>
      </c>
      <c r="I1910" t="s">
        <v>2446</v>
      </c>
      <c r="J1910" t="s">
        <v>2447</v>
      </c>
      <c r="K1910" t="s">
        <v>2569</v>
      </c>
      <c r="L1910" t="s">
        <v>2603</v>
      </c>
      <c r="M1910" t="s">
        <v>2618</v>
      </c>
    </row>
    <row r="1911" spans="1:14">
      <c r="A1911" s="1">
        <f>HYPERLINK("https://lsnyc.legalserver.org/matter/dynamic-profile/view/1869651","18-1869651")</f>
        <v>0</v>
      </c>
      <c r="B1911" t="s">
        <v>16</v>
      </c>
      <c r="C1911" t="s">
        <v>23</v>
      </c>
      <c r="D1911" t="s">
        <v>1517</v>
      </c>
      <c r="E1911" t="s">
        <v>2375</v>
      </c>
      <c r="F1911" t="s">
        <v>2437</v>
      </c>
      <c r="I1911" t="s">
        <v>2446</v>
      </c>
      <c r="J1911" t="s">
        <v>2473</v>
      </c>
      <c r="K1911" t="s">
        <v>2595</v>
      </c>
      <c r="L1911" t="s">
        <v>2604</v>
      </c>
      <c r="M1911" t="s">
        <v>2617</v>
      </c>
    </row>
    <row r="1912" spans="1:14">
      <c r="A1912" s="1">
        <f>HYPERLINK("https://lsnyc.legalserver.org/matter/dynamic-profile/view/1869622","18-1869622")</f>
        <v>0</v>
      </c>
      <c r="B1912" t="s">
        <v>18</v>
      </c>
      <c r="C1912" t="s">
        <v>34</v>
      </c>
      <c r="D1912" t="s">
        <v>1518</v>
      </c>
      <c r="E1912" t="s">
        <v>2390</v>
      </c>
      <c r="F1912" t="s">
        <v>2437</v>
      </c>
      <c r="J1912" t="s">
        <v>2484</v>
      </c>
      <c r="K1912" t="s">
        <v>2582</v>
      </c>
      <c r="L1912" t="s">
        <v>2605</v>
      </c>
      <c r="M1912" t="s">
        <v>2619</v>
      </c>
    </row>
    <row r="1913" spans="1:14">
      <c r="A1913" s="1">
        <f>HYPERLINK("https://lsnyc.legalserver.org/matter/dynamic-profile/view/1869440","18-1869440")</f>
        <v>0</v>
      </c>
      <c r="B1913" t="s">
        <v>15</v>
      </c>
      <c r="C1913" t="s">
        <v>49</v>
      </c>
      <c r="D1913" t="s">
        <v>1519</v>
      </c>
      <c r="E1913" t="s">
        <v>2390</v>
      </c>
      <c r="F1913" t="s">
        <v>2437</v>
      </c>
      <c r="H1913" t="s">
        <v>2445</v>
      </c>
      <c r="J1913" t="s">
        <v>2477</v>
      </c>
      <c r="K1913" t="s">
        <v>2569</v>
      </c>
      <c r="M1913" t="s">
        <v>2619</v>
      </c>
    </row>
    <row r="1914" spans="1:14">
      <c r="A1914" s="1">
        <f>HYPERLINK("https://lsnyc.legalserver.org/matter/dynamic-profile/view/1869514","18-1869514")</f>
        <v>0</v>
      </c>
      <c r="B1914" t="s">
        <v>16</v>
      </c>
      <c r="C1914" t="s">
        <v>23</v>
      </c>
      <c r="D1914" t="s">
        <v>1130</v>
      </c>
      <c r="E1914" t="s">
        <v>2390</v>
      </c>
      <c r="F1914" t="s">
        <v>2437</v>
      </c>
      <c r="I1914" t="s">
        <v>2446</v>
      </c>
      <c r="J1914" t="s">
        <v>2452</v>
      </c>
      <c r="K1914" t="s">
        <v>2572</v>
      </c>
      <c r="M1914" t="s">
        <v>2619</v>
      </c>
    </row>
    <row r="1915" spans="1:14">
      <c r="A1915" s="1">
        <f>HYPERLINK("https://lsnyc.legalserver.org/matter/dynamic-profile/view/1869357","18-1869357")</f>
        <v>0</v>
      </c>
      <c r="B1915" t="s">
        <v>18</v>
      </c>
      <c r="C1915" t="s">
        <v>35</v>
      </c>
      <c r="D1915" t="s">
        <v>1520</v>
      </c>
      <c r="E1915" t="s">
        <v>2375</v>
      </c>
      <c r="F1915" t="s">
        <v>2439</v>
      </c>
      <c r="I1915" t="s">
        <v>2446</v>
      </c>
      <c r="J1915" t="s">
        <v>2548</v>
      </c>
      <c r="K1915" t="s">
        <v>2582</v>
      </c>
      <c r="L1915" t="s">
        <v>2602</v>
      </c>
      <c r="M1915" t="s">
        <v>2631</v>
      </c>
    </row>
    <row r="1916" spans="1:14">
      <c r="A1916" s="1">
        <f>HYPERLINK("https://lsnyc.legalserver.org/matter/dynamic-profile/view/1869368","18-1869368")</f>
        <v>0</v>
      </c>
      <c r="B1916" t="s">
        <v>16</v>
      </c>
      <c r="C1916" t="s">
        <v>24</v>
      </c>
      <c r="D1916" t="s">
        <v>1521</v>
      </c>
      <c r="E1916" t="s">
        <v>2387</v>
      </c>
      <c r="F1916" t="s">
        <v>2439</v>
      </c>
      <c r="I1916" t="s">
        <v>2446</v>
      </c>
      <c r="J1916" t="s">
        <v>2447</v>
      </c>
      <c r="K1916" t="s">
        <v>2569</v>
      </c>
      <c r="L1916" t="s">
        <v>2601</v>
      </c>
      <c r="M1916" t="s">
        <v>2641</v>
      </c>
    </row>
    <row r="1917" spans="1:14">
      <c r="A1917" s="1">
        <f>HYPERLINK("https://lsnyc.legalserver.org/matter/dynamic-profile/view/1869360","18-1869360")</f>
        <v>0</v>
      </c>
      <c r="B1917" t="s">
        <v>19</v>
      </c>
      <c r="C1917" t="s">
        <v>47</v>
      </c>
      <c r="D1917" t="s">
        <v>1522</v>
      </c>
      <c r="E1917" t="s">
        <v>2399</v>
      </c>
      <c r="F1917" t="s">
        <v>2437</v>
      </c>
      <c r="J1917" t="s">
        <v>2476</v>
      </c>
      <c r="K1917" t="s">
        <v>2572</v>
      </c>
      <c r="L1917" t="s">
        <v>2605</v>
      </c>
      <c r="M1917" t="s">
        <v>2621</v>
      </c>
      <c r="N1917" t="s">
        <v>2648</v>
      </c>
    </row>
    <row r="1918" spans="1:14">
      <c r="A1918" s="1">
        <f>HYPERLINK("https://lsnyc.legalserver.org/matter/dynamic-profile/view/1869363","18-1869363")</f>
        <v>0</v>
      </c>
      <c r="B1918" t="s">
        <v>19</v>
      </c>
      <c r="C1918" t="s">
        <v>47</v>
      </c>
      <c r="D1918" t="s">
        <v>1523</v>
      </c>
      <c r="E1918" t="s">
        <v>2399</v>
      </c>
      <c r="F1918" t="s">
        <v>2437</v>
      </c>
      <c r="I1918" t="s">
        <v>2446</v>
      </c>
      <c r="J1918" t="s">
        <v>2476</v>
      </c>
      <c r="K1918" t="s">
        <v>2572</v>
      </c>
      <c r="L1918" t="s">
        <v>2605</v>
      </c>
      <c r="M1918" t="s">
        <v>2621</v>
      </c>
      <c r="N1918" t="s">
        <v>2648</v>
      </c>
    </row>
    <row r="1919" spans="1:14">
      <c r="A1919" s="1">
        <f>HYPERLINK("https://lsnyc.legalserver.org/matter/dynamic-profile/view/1869365","18-1869365")</f>
        <v>0</v>
      </c>
      <c r="B1919" t="s">
        <v>19</v>
      </c>
      <c r="C1919" t="s">
        <v>47</v>
      </c>
      <c r="D1919" t="s">
        <v>1524</v>
      </c>
      <c r="E1919" t="s">
        <v>2399</v>
      </c>
      <c r="F1919" t="s">
        <v>2437</v>
      </c>
      <c r="I1919" t="s">
        <v>2446</v>
      </c>
      <c r="J1919" t="s">
        <v>2490</v>
      </c>
      <c r="K1919" t="s">
        <v>2572</v>
      </c>
      <c r="L1919" t="s">
        <v>2605</v>
      </c>
      <c r="M1919" t="s">
        <v>2621</v>
      </c>
      <c r="N1919" t="s">
        <v>2648</v>
      </c>
    </row>
    <row r="1920" spans="1:14">
      <c r="A1920" s="1">
        <f>HYPERLINK("https://lsnyc.legalserver.org/matter/dynamic-profile/view/1869338","18-1869338")</f>
        <v>0</v>
      </c>
      <c r="B1920" t="s">
        <v>14</v>
      </c>
      <c r="C1920" t="s">
        <v>20</v>
      </c>
      <c r="D1920" t="s">
        <v>1290</v>
      </c>
      <c r="E1920" t="s">
        <v>2374</v>
      </c>
      <c r="F1920" t="s">
        <v>2438</v>
      </c>
      <c r="I1920" t="s">
        <v>2446</v>
      </c>
      <c r="J1920" t="s">
        <v>2450</v>
      </c>
      <c r="K1920" t="s">
        <v>2569</v>
      </c>
      <c r="L1920" t="s">
        <v>2600</v>
      </c>
      <c r="M1920" t="s">
        <v>2616</v>
      </c>
    </row>
    <row r="1921" spans="1:13">
      <c r="A1921" s="1">
        <f>HYPERLINK("https://lsnyc.legalserver.org/matter/dynamic-profile/view/1869396","18-1869396")</f>
        <v>0</v>
      </c>
      <c r="B1921" t="s">
        <v>16</v>
      </c>
      <c r="C1921" t="s">
        <v>23</v>
      </c>
      <c r="D1921" t="s">
        <v>1525</v>
      </c>
      <c r="E1921" t="s">
        <v>2390</v>
      </c>
      <c r="F1921" t="s">
        <v>2437</v>
      </c>
      <c r="I1921" t="s">
        <v>2446</v>
      </c>
      <c r="J1921" t="s">
        <v>2452</v>
      </c>
      <c r="K1921" t="s">
        <v>2572</v>
      </c>
      <c r="M1921" t="s">
        <v>2619</v>
      </c>
    </row>
    <row r="1922" spans="1:13">
      <c r="A1922" s="1">
        <f>HYPERLINK("https://lsnyc.legalserver.org/matter/dynamic-profile/view/1869419","18-1869419")</f>
        <v>0</v>
      </c>
      <c r="B1922" t="s">
        <v>14</v>
      </c>
      <c r="C1922" t="s">
        <v>20</v>
      </c>
      <c r="D1922" t="s">
        <v>1526</v>
      </c>
      <c r="E1922" t="s">
        <v>2385</v>
      </c>
      <c r="F1922" t="s">
        <v>2437</v>
      </c>
      <c r="J1922" t="s">
        <v>2484</v>
      </c>
      <c r="K1922" t="s">
        <v>2582</v>
      </c>
      <c r="L1922" t="s">
        <v>2600</v>
      </c>
      <c r="M1922" t="s">
        <v>2616</v>
      </c>
    </row>
    <row r="1923" spans="1:13">
      <c r="A1923" s="1">
        <f>HYPERLINK("https://lsnyc.legalserver.org/matter/dynamic-profile/view/1869227","18-1869227")</f>
        <v>0</v>
      </c>
      <c r="B1923" t="s">
        <v>19</v>
      </c>
      <c r="C1923" t="s">
        <v>50</v>
      </c>
      <c r="D1923" t="s">
        <v>1527</v>
      </c>
      <c r="E1923" t="s">
        <v>2390</v>
      </c>
      <c r="F1923" t="s">
        <v>2440</v>
      </c>
      <c r="I1923" t="s">
        <v>2446</v>
      </c>
      <c r="J1923" t="s">
        <v>2450</v>
      </c>
      <c r="K1923" t="s">
        <v>2569</v>
      </c>
      <c r="L1923" t="s">
        <v>2601</v>
      </c>
      <c r="M1923" t="s">
        <v>2631</v>
      </c>
    </row>
    <row r="1924" spans="1:13">
      <c r="A1924" s="1">
        <f>HYPERLINK("https://lsnyc.legalserver.org/matter/dynamic-profile/view/1869201","18-1869201")</f>
        <v>0</v>
      </c>
      <c r="B1924" t="s">
        <v>14</v>
      </c>
      <c r="C1924" t="s">
        <v>20</v>
      </c>
      <c r="D1924" t="s">
        <v>1528</v>
      </c>
      <c r="E1924" t="s">
        <v>2371</v>
      </c>
      <c r="F1924" t="s">
        <v>2437</v>
      </c>
      <c r="I1924" t="s">
        <v>2446</v>
      </c>
      <c r="J1924" t="s">
        <v>2488</v>
      </c>
      <c r="K1924" t="s">
        <v>2569</v>
      </c>
      <c r="L1924" t="s">
        <v>2602</v>
      </c>
      <c r="M1924" t="s">
        <v>2636</v>
      </c>
    </row>
    <row r="1925" spans="1:13">
      <c r="A1925" s="1">
        <f>HYPERLINK("https://lsnyc.legalserver.org/matter/dynamic-profile/view/1869218","18-1869218")</f>
        <v>0</v>
      </c>
      <c r="B1925" t="s">
        <v>16</v>
      </c>
      <c r="C1925" t="s">
        <v>23</v>
      </c>
      <c r="D1925" t="s">
        <v>1529</v>
      </c>
      <c r="E1925" t="s">
        <v>2375</v>
      </c>
      <c r="F1925" t="s">
        <v>2437</v>
      </c>
      <c r="I1925" t="s">
        <v>2446</v>
      </c>
      <c r="J1925" t="s">
        <v>2452</v>
      </c>
      <c r="K1925" t="s">
        <v>2572</v>
      </c>
      <c r="M1925" t="s">
        <v>2617</v>
      </c>
    </row>
    <row r="1926" spans="1:13">
      <c r="A1926" s="1">
        <f>HYPERLINK("https://lsnyc.legalserver.org/matter/dynamic-profile/view/1869233","18-1869233")</f>
        <v>0</v>
      </c>
      <c r="B1926" t="s">
        <v>16</v>
      </c>
      <c r="C1926" t="s">
        <v>46</v>
      </c>
      <c r="D1926" t="s">
        <v>1530</v>
      </c>
      <c r="E1926" t="s">
        <v>2390</v>
      </c>
      <c r="F1926" t="s">
        <v>2437</v>
      </c>
      <c r="I1926" t="s">
        <v>2446</v>
      </c>
      <c r="J1926" t="s">
        <v>2452</v>
      </c>
      <c r="K1926" t="s">
        <v>2572</v>
      </c>
      <c r="M1926" t="s">
        <v>2619</v>
      </c>
    </row>
    <row r="1927" spans="1:13">
      <c r="A1927" s="1">
        <f>HYPERLINK("https://lsnyc.legalserver.org/matter/dynamic-profile/view/1869234","18-1869234")</f>
        <v>0</v>
      </c>
      <c r="B1927" t="s">
        <v>16</v>
      </c>
      <c r="C1927" t="s">
        <v>23</v>
      </c>
      <c r="D1927" t="s">
        <v>1531</v>
      </c>
      <c r="E1927" t="s">
        <v>2390</v>
      </c>
      <c r="F1927" t="s">
        <v>2437</v>
      </c>
      <c r="I1927" t="s">
        <v>2446</v>
      </c>
      <c r="J1927" t="s">
        <v>2452</v>
      </c>
      <c r="K1927" t="s">
        <v>2572</v>
      </c>
      <c r="M1927" t="s">
        <v>2619</v>
      </c>
    </row>
    <row r="1928" spans="1:13">
      <c r="A1928" s="1">
        <f>HYPERLINK("https://lsnyc.legalserver.org/matter/dynamic-profile/view/1869261","18-1869261")</f>
        <v>0</v>
      </c>
      <c r="B1928" t="s">
        <v>14</v>
      </c>
      <c r="C1928" t="s">
        <v>72</v>
      </c>
      <c r="D1928" t="s">
        <v>1532</v>
      </c>
      <c r="E1928" t="s">
        <v>2390</v>
      </c>
      <c r="F1928" t="s">
        <v>2437</v>
      </c>
      <c r="I1928" t="s">
        <v>2446</v>
      </c>
      <c r="J1928" t="s">
        <v>2452</v>
      </c>
      <c r="K1928" t="s">
        <v>2572</v>
      </c>
      <c r="M1928" t="s">
        <v>2619</v>
      </c>
    </row>
    <row r="1929" spans="1:13">
      <c r="A1929" s="1">
        <f>HYPERLINK("https://lsnyc.legalserver.org/matter/dynamic-profile/view/1878918","18-1878918")</f>
        <v>0</v>
      </c>
      <c r="B1929" t="s">
        <v>18</v>
      </c>
      <c r="C1929" t="s">
        <v>35</v>
      </c>
      <c r="D1929" t="s">
        <v>1277</v>
      </c>
      <c r="E1929" t="s">
        <v>2385</v>
      </c>
      <c r="F1929" t="s">
        <v>2438</v>
      </c>
      <c r="J1929" t="s">
        <v>2449</v>
      </c>
      <c r="K1929" t="s">
        <v>2572</v>
      </c>
      <c r="L1929" t="s">
        <v>2600</v>
      </c>
      <c r="M1929" t="s">
        <v>2616</v>
      </c>
    </row>
    <row r="1930" spans="1:13">
      <c r="A1930" s="1">
        <f>HYPERLINK("https://lsnyc.legalserver.org/matter/dynamic-profile/view/1878967","18-1878967")</f>
        <v>0</v>
      </c>
      <c r="B1930" t="s">
        <v>18</v>
      </c>
      <c r="C1930" t="s">
        <v>35</v>
      </c>
      <c r="D1930" t="s">
        <v>276</v>
      </c>
      <c r="E1930" t="s">
        <v>2375</v>
      </c>
      <c r="F1930" t="s">
        <v>2438</v>
      </c>
      <c r="J1930" t="s">
        <v>2449</v>
      </c>
      <c r="K1930" t="s">
        <v>2569</v>
      </c>
      <c r="M1930" t="s">
        <v>2617</v>
      </c>
    </row>
    <row r="1931" spans="1:13">
      <c r="A1931" s="1">
        <f>HYPERLINK("https://lsnyc.legalserver.org/matter/dynamic-profile/view/1869092","18-1869092")</f>
        <v>0</v>
      </c>
      <c r="B1931" t="s">
        <v>19</v>
      </c>
      <c r="C1931" t="s">
        <v>54</v>
      </c>
      <c r="D1931" t="s">
        <v>1325</v>
      </c>
      <c r="E1931" t="s">
        <v>2374</v>
      </c>
      <c r="F1931" t="s">
        <v>2438</v>
      </c>
      <c r="I1931" t="s">
        <v>2446</v>
      </c>
      <c r="J1931" t="s">
        <v>2465</v>
      </c>
      <c r="K1931" t="s">
        <v>2569</v>
      </c>
      <c r="L1931" t="s">
        <v>2600</v>
      </c>
      <c r="M1931" t="s">
        <v>2616</v>
      </c>
    </row>
    <row r="1932" spans="1:13">
      <c r="A1932" s="1">
        <f>HYPERLINK("https://lsnyc.legalserver.org/matter/dynamic-profile/view/1869104","18-1869104")</f>
        <v>0</v>
      </c>
      <c r="B1932" t="s">
        <v>19</v>
      </c>
      <c r="C1932" t="s">
        <v>54</v>
      </c>
      <c r="D1932" t="s">
        <v>771</v>
      </c>
      <c r="E1932" t="s">
        <v>2391</v>
      </c>
      <c r="F1932" t="s">
        <v>2438</v>
      </c>
      <c r="I1932" t="s">
        <v>2446</v>
      </c>
      <c r="J1932" t="s">
        <v>2465</v>
      </c>
      <c r="K1932" t="s">
        <v>2569</v>
      </c>
      <c r="L1932" t="s">
        <v>2600</v>
      </c>
      <c r="M1932" t="s">
        <v>2615</v>
      </c>
    </row>
    <row r="1933" spans="1:13">
      <c r="A1933" s="1">
        <f>HYPERLINK("https://lsnyc.legalserver.org/matter/dynamic-profile/view/1869169","18-1869169")</f>
        <v>0</v>
      </c>
      <c r="B1933" t="s">
        <v>16</v>
      </c>
      <c r="C1933" t="s">
        <v>23</v>
      </c>
      <c r="D1933" t="s">
        <v>1533</v>
      </c>
      <c r="E1933" t="s">
        <v>2370</v>
      </c>
      <c r="F1933" t="s">
        <v>2437</v>
      </c>
      <c r="G1933" t="s">
        <v>2444</v>
      </c>
      <c r="I1933" t="s">
        <v>2446</v>
      </c>
      <c r="J1933" t="s">
        <v>2507</v>
      </c>
      <c r="K1933" t="s">
        <v>2572</v>
      </c>
      <c r="M1933" t="s">
        <v>2638</v>
      </c>
    </row>
    <row r="1934" spans="1:13">
      <c r="A1934" s="1">
        <f>HYPERLINK("https://lsnyc.legalserver.org/matter/dynamic-profile/view/1869036","18-1869036")</f>
        <v>0</v>
      </c>
      <c r="B1934" t="s">
        <v>16</v>
      </c>
      <c r="C1934" t="s">
        <v>23</v>
      </c>
      <c r="D1934" t="s">
        <v>1534</v>
      </c>
      <c r="E1934" t="s">
        <v>2390</v>
      </c>
      <c r="F1934" t="s">
        <v>2437</v>
      </c>
      <c r="I1934" t="s">
        <v>2446</v>
      </c>
      <c r="J1934" t="s">
        <v>2448</v>
      </c>
      <c r="K1934" t="s">
        <v>2569</v>
      </c>
      <c r="L1934" t="s">
        <v>2601</v>
      </c>
      <c r="M1934" t="s">
        <v>2631</v>
      </c>
    </row>
    <row r="1935" spans="1:13">
      <c r="A1935" s="1">
        <f>HYPERLINK("https://lsnyc.legalserver.org/matter/dynamic-profile/view/1869019","18-1869019")</f>
        <v>0</v>
      </c>
      <c r="B1935" t="s">
        <v>16</v>
      </c>
      <c r="C1935" t="s">
        <v>23</v>
      </c>
      <c r="D1935" t="s">
        <v>840</v>
      </c>
      <c r="E1935" t="s">
        <v>2390</v>
      </c>
      <c r="F1935" t="s">
        <v>2439</v>
      </c>
      <c r="I1935" t="s">
        <v>2446</v>
      </c>
      <c r="J1935" t="s">
        <v>2448</v>
      </c>
      <c r="K1935" t="s">
        <v>2569</v>
      </c>
      <c r="L1935" t="s">
        <v>2601</v>
      </c>
      <c r="M1935" t="s">
        <v>2631</v>
      </c>
    </row>
    <row r="1936" spans="1:13">
      <c r="A1936" s="1">
        <f>HYPERLINK("https://lsnyc.legalserver.org/matter/dynamic-profile/view/1869022","18-1869022")</f>
        <v>0</v>
      </c>
      <c r="B1936" t="s">
        <v>15</v>
      </c>
      <c r="C1936" t="s">
        <v>37</v>
      </c>
      <c r="D1936" t="s">
        <v>1535</v>
      </c>
      <c r="E1936" t="s">
        <v>2376</v>
      </c>
      <c r="F1936" t="s">
        <v>2437</v>
      </c>
      <c r="I1936" t="s">
        <v>2446</v>
      </c>
      <c r="J1936" t="s">
        <v>2447</v>
      </c>
      <c r="K1936" t="s">
        <v>2569</v>
      </c>
      <c r="L1936" t="s">
        <v>2603</v>
      </c>
      <c r="M1936" t="s">
        <v>2618</v>
      </c>
    </row>
    <row r="1937" spans="1:13">
      <c r="A1937" s="1">
        <f>HYPERLINK("https://lsnyc.legalserver.org/matter/dynamic-profile/view/1869053","18-1869053")</f>
        <v>0</v>
      </c>
      <c r="B1937" t="s">
        <v>16</v>
      </c>
      <c r="C1937" t="s">
        <v>23</v>
      </c>
      <c r="D1937" t="s">
        <v>1536</v>
      </c>
      <c r="E1937" t="s">
        <v>2390</v>
      </c>
      <c r="F1937" t="s">
        <v>2437</v>
      </c>
      <c r="I1937" t="s">
        <v>2446</v>
      </c>
      <c r="J1937" t="s">
        <v>2448</v>
      </c>
      <c r="K1937" t="s">
        <v>2569</v>
      </c>
      <c r="L1937" t="s">
        <v>2601</v>
      </c>
      <c r="M1937" t="s">
        <v>2631</v>
      </c>
    </row>
    <row r="1938" spans="1:13">
      <c r="A1938" s="1">
        <f>HYPERLINK("https://lsnyc.legalserver.org/matter/dynamic-profile/view/1866802","18-1866802")</f>
        <v>0</v>
      </c>
      <c r="B1938" t="s">
        <v>17</v>
      </c>
      <c r="C1938" t="s">
        <v>42</v>
      </c>
      <c r="D1938" t="s">
        <v>720</v>
      </c>
      <c r="E1938" t="s">
        <v>2375</v>
      </c>
      <c r="F1938" t="s">
        <v>2437</v>
      </c>
      <c r="I1938" t="s">
        <v>2446</v>
      </c>
      <c r="J1938" t="s">
        <v>2465</v>
      </c>
      <c r="K1938" t="s">
        <v>2569</v>
      </c>
      <c r="L1938" t="s">
        <v>2600</v>
      </c>
      <c r="M1938" t="s">
        <v>2617</v>
      </c>
    </row>
    <row r="1939" spans="1:13">
      <c r="A1939" s="1">
        <f>HYPERLINK("https://lsnyc.legalserver.org/matter/dynamic-profile/view/1868931","18-1868931")</f>
        <v>0</v>
      </c>
      <c r="B1939" t="s">
        <v>16</v>
      </c>
      <c r="C1939" t="s">
        <v>23</v>
      </c>
      <c r="D1939" t="s">
        <v>1537</v>
      </c>
      <c r="E1939" t="s">
        <v>2390</v>
      </c>
      <c r="F1939" t="s">
        <v>2437</v>
      </c>
      <c r="I1939" t="s">
        <v>2446</v>
      </c>
      <c r="J1939" t="s">
        <v>2448</v>
      </c>
      <c r="M1939" t="s">
        <v>2626</v>
      </c>
    </row>
    <row r="1940" spans="1:13">
      <c r="A1940" s="1">
        <f>HYPERLINK("https://lsnyc.legalserver.org/matter/dynamic-profile/view/1868972","18-1868972")</f>
        <v>0</v>
      </c>
      <c r="B1940" t="s">
        <v>16</v>
      </c>
      <c r="C1940" t="s">
        <v>23</v>
      </c>
      <c r="D1940" t="s">
        <v>1538</v>
      </c>
      <c r="E1940" t="s">
        <v>2387</v>
      </c>
      <c r="F1940" t="s">
        <v>2437</v>
      </c>
      <c r="I1940" t="s">
        <v>2446</v>
      </c>
      <c r="J1940" t="s">
        <v>2447</v>
      </c>
      <c r="K1940" t="s">
        <v>2569</v>
      </c>
      <c r="M1940" t="s">
        <v>2629</v>
      </c>
    </row>
    <row r="1941" spans="1:13">
      <c r="A1941" s="1">
        <f>HYPERLINK("https://lsnyc.legalserver.org/matter/dynamic-profile/view/1868976","18-1868976")</f>
        <v>0</v>
      </c>
      <c r="B1941" t="s">
        <v>16</v>
      </c>
      <c r="C1941" t="s">
        <v>23</v>
      </c>
      <c r="D1941" t="s">
        <v>1539</v>
      </c>
      <c r="E1941" t="s">
        <v>2390</v>
      </c>
      <c r="F1941" t="s">
        <v>2437</v>
      </c>
      <c r="I1941" t="s">
        <v>2446</v>
      </c>
      <c r="J1941" t="s">
        <v>2448</v>
      </c>
      <c r="K1941" t="s">
        <v>2569</v>
      </c>
      <c r="M1941" t="s">
        <v>2619</v>
      </c>
    </row>
    <row r="1942" spans="1:13">
      <c r="A1942" s="1">
        <f>HYPERLINK("https://lsnyc.legalserver.org/matter/dynamic-profile/view/1869035","18-1869035")</f>
        <v>0</v>
      </c>
      <c r="B1942" t="s">
        <v>16</v>
      </c>
      <c r="C1942" t="s">
        <v>23</v>
      </c>
      <c r="D1942" t="s">
        <v>1540</v>
      </c>
      <c r="E1942" t="s">
        <v>2390</v>
      </c>
      <c r="F1942" t="s">
        <v>2437</v>
      </c>
      <c r="I1942" t="s">
        <v>2446</v>
      </c>
      <c r="J1942" t="s">
        <v>2455</v>
      </c>
      <c r="K1942" t="s">
        <v>2569</v>
      </c>
      <c r="M1942" t="s">
        <v>2619</v>
      </c>
    </row>
    <row r="1943" spans="1:13">
      <c r="A1943" s="1">
        <f>HYPERLINK("https://lsnyc.legalserver.org/matter/dynamic-profile/view/1869041","18-1869041")</f>
        <v>0</v>
      </c>
      <c r="B1943" t="s">
        <v>16</v>
      </c>
      <c r="C1943" t="s">
        <v>23</v>
      </c>
      <c r="D1943" t="s">
        <v>615</v>
      </c>
      <c r="E1943" t="s">
        <v>2390</v>
      </c>
      <c r="F1943" t="s">
        <v>2437</v>
      </c>
      <c r="I1943" t="s">
        <v>2446</v>
      </c>
      <c r="J1943" t="s">
        <v>2449</v>
      </c>
      <c r="K1943" t="s">
        <v>2569</v>
      </c>
      <c r="M1943" t="s">
        <v>2619</v>
      </c>
    </row>
    <row r="1944" spans="1:13">
      <c r="A1944" s="1">
        <f>HYPERLINK("https://lsnyc.legalserver.org/matter/dynamic-profile/view/1869044","18-1869044")</f>
        <v>0</v>
      </c>
      <c r="B1944" t="s">
        <v>16</v>
      </c>
      <c r="C1944" t="s">
        <v>23</v>
      </c>
      <c r="D1944" t="s">
        <v>1541</v>
      </c>
      <c r="E1944" t="s">
        <v>2390</v>
      </c>
      <c r="F1944" t="s">
        <v>2437</v>
      </c>
      <c r="I1944" t="s">
        <v>2446</v>
      </c>
      <c r="J1944" t="s">
        <v>2447</v>
      </c>
      <c r="K1944" t="s">
        <v>2569</v>
      </c>
      <c r="M1944" t="s">
        <v>2619</v>
      </c>
    </row>
    <row r="1945" spans="1:13">
      <c r="A1945" s="1">
        <f>HYPERLINK("https://lsnyc.legalserver.org/matter/dynamic-profile/view/1869048","18-1869048")</f>
        <v>0</v>
      </c>
      <c r="B1945" t="s">
        <v>16</v>
      </c>
      <c r="C1945" t="s">
        <v>23</v>
      </c>
      <c r="D1945" t="s">
        <v>1542</v>
      </c>
      <c r="E1945" t="s">
        <v>2393</v>
      </c>
      <c r="F1945" t="s">
        <v>2437</v>
      </c>
      <c r="I1945" t="s">
        <v>2446</v>
      </c>
      <c r="J1945" t="s">
        <v>2457</v>
      </c>
      <c r="K1945" t="s">
        <v>2569</v>
      </c>
      <c r="M1945" t="s">
        <v>2637</v>
      </c>
    </row>
    <row r="1946" spans="1:13">
      <c r="A1946" s="1">
        <f>HYPERLINK("https://lsnyc.legalserver.org/matter/dynamic-profile/view/1869050","18-1869050")</f>
        <v>0</v>
      </c>
      <c r="B1946" t="s">
        <v>16</v>
      </c>
      <c r="C1946" t="s">
        <v>23</v>
      </c>
      <c r="D1946" t="s">
        <v>1543</v>
      </c>
      <c r="E1946" t="s">
        <v>2393</v>
      </c>
      <c r="F1946" t="s">
        <v>2437</v>
      </c>
      <c r="I1946" t="s">
        <v>2446</v>
      </c>
      <c r="J1946" t="s">
        <v>2457</v>
      </c>
      <c r="K1946" t="s">
        <v>2569</v>
      </c>
      <c r="L1946" t="s">
        <v>2600</v>
      </c>
      <c r="M1946" t="s">
        <v>2626</v>
      </c>
    </row>
    <row r="1947" spans="1:13">
      <c r="A1947" s="1">
        <f>HYPERLINK("https://lsnyc.legalserver.org/matter/dynamic-profile/view/1869058","18-1869058")</f>
        <v>0</v>
      </c>
      <c r="B1947" t="s">
        <v>16</v>
      </c>
      <c r="C1947" t="s">
        <v>23</v>
      </c>
      <c r="D1947" t="s">
        <v>1544</v>
      </c>
      <c r="E1947" t="s">
        <v>2390</v>
      </c>
      <c r="F1947" t="s">
        <v>2437</v>
      </c>
      <c r="I1947" t="s">
        <v>2446</v>
      </c>
      <c r="J1947" t="s">
        <v>2448</v>
      </c>
      <c r="M1947" t="s">
        <v>2626</v>
      </c>
    </row>
    <row r="1948" spans="1:13">
      <c r="A1948" s="1">
        <f>HYPERLINK("https://lsnyc.legalserver.org/matter/dynamic-profile/view/1869061","18-1869061")</f>
        <v>0</v>
      </c>
      <c r="B1948" t="s">
        <v>16</v>
      </c>
      <c r="C1948" t="s">
        <v>23</v>
      </c>
      <c r="D1948" t="s">
        <v>1545</v>
      </c>
      <c r="E1948" t="s">
        <v>2390</v>
      </c>
      <c r="F1948" t="s">
        <v>2437</v>
      </c>
      <c r="I1948" t="s">
        <v>2446</v>
      </c>
      <c r="J1948" t="s">
        <v>2448</v>
      </c>
      <c r="K1948" t="s">
        <v>2569</v>
      </c>
      <c r="M1948" t="s">
        <v>2619</v>
      </c>
    </row>
    <row r="1949" spans="1:13">
      <c r="A1949" s="1">
        <f>HYPERLINK("https://lsnyc.legalserver.org/matter/dynamic-profile/view/1869065","18-1869065")</f>
        <v>0</v>
      </c>
      <c r="B1949" t="s">
        <v>16</v>
      </c>
      <c r="C1949" t="s">
        <v>23</v>
      </c>
      <c r="D1949" t="s">
        <v>799</v>
      </c>
      <c r="E1949" t="s">
        <v>2406</v>
      </c>
      <c r="F1949" t="s">
        <v>2437</v>
      </c>
      <c r="I1949" t="s">
        <v>2446</v>
      </c>
      <c r="J1949" t="s">
        <v>2457</v>
      </c>
      <c r="K1949" t="s">
        <v>2569</v>
      </c>
      <c r="M1949" t="s">
        <v>2642</v>
      </c>
    </row>
    <row r="1950" spans="1:13">
      <c r="A1950" s="1">
        <f>HYPERLINK("https://lsnyc.legalserver.org/matter/dynamic-profile/view/1868930","18-1868930")</f>
        <v>0</v>
      </c>
      <c r="B1950" t="s">
        <v>16</v>
      </c>
      <c r="C1950" t="s">
        <v>23</v>
      </c>
      <c r="D1950" t="s">
        <v>1546</v>
      </c>
      <c r="E1950" t="s">
        <v>2387</v>
      </c>
      <c r="F1950" t="s">
        <v>2437</v>
      </c>
      <c r="I1950" t="s">
        <v>2446</v>
      </c>
      <c r="J1950" t="s">
        <v>2457</v>
      </c>
      <c r="K1950" t="s">
        <v>2569</v>
      </c>
      <c r="L1950" t="s">
        <v>2600</v>
      </c>
      <c r="M1950" t="s">
        <v>2629</v>
      </c>
    </row>
    <row r="1951" spans="1:13">
      <c r="A1951" s="1">
        <f>HYPERLINK("https://lsnyc.legalserver.org/matter/dynamic-profile/view/1868791","18-1868791")</f>
        <v>0</v>
      </c>
      <c r="B1951" t="s">
        <v>18</v>
      </c>
      <c r="C1951" t="s">
        <v>35</v>
      </c>
      <c r="D1951" t="s">
        <v>1547</v>
      </c>
      <c r="E1951" t="s">
        <v>2381</v>
      </c>
      <c r="F1951" t="s">
        <v>2440</v>
      </c>
      <c r="J1951" t="s">
        <v>2448</v>
      </c>
      <c r="K1951" t="s">
        <v>2569</v>
      </c>
      <c r="L1951" t="s">
        <v>2601</v>
      </c>
      <c r="M1951" t="s">
        <v>2631</v>
      </c>
    </row>
    <row r="1952" spans="1:13">
      <c r="A1952" s="1">
        <f>HYPERLINK("https://lsnyc.legalserver.org/matter/dynamic-profile/view/1868807","18-1868807")</f>
        <v>0</v>
      </c>
      <c r="B1952" t="s">
        <v>19</v>
      </c>
      <c r="C1952" t="s">
        <v>38</v>
      </c>
      <c r="D1952" t="s">
        <v>1548</v>
      </c>
      <c r="E1952" t="s">
        <v>2380</v>
      </c>
      <c r="F1952" t="s">
        <v>2439</v>
      </c>
      <c r="I1952" t="s">
        <v>2446</v>
      </c>
      <c r="J1952" t="s">
        <v>2490</v>
      </c>
      <c r="K1952" t="s">
        <v>2572</v>
      </c>
      <c r="L1952" t="s">
        <v>2601</v>
      </c>
      <c r="M1952" t="s">
        <v>2631</v>
      </c>
    </row>
    <row r="1953" spans="1:13">
      <c r="A1953" s="1">
        <f>HYPERLINK("https://lsnyc.legalserver.org/matter/dynamic-profile/view/1868800","18-1868800")</f>
        <v>0</v>
      </c>
      <c r="B1953" t="s">
        <v>16</v>
      </c>
      <c r="C1953" t="s">
        <v>23</v>
      </c>
      <c r="D1953" t="s">
        <v>1549</v>
      </c>
      <c r="E1953" t="s">
        <v>2390</v>
      </c>
      <c r="F1953" t="s">
        <v>2439</v>
      </c>
      <c r="I1953" t="s">
        <v>2446</v>
      </c>
      <c r="J1953" t="s">
        <v>2457</v>
      </c>
      <c r="K1953" t="s">
        <v>2569</v>
      </c>
      <c r="L1953" t="s">
        <v>2601</v>
      </c>
      <c r="M1953" t="s">
        <v>2631</v>
      </c>
    </row>
    <row r="1954" spans="1:13">
      <c r="A1954" s="1">
        <f>HYPERLINK("https://lsnyc.legalserver.org/matter/dynamic-profile/view/1868879","18-1868879")</f>
        <v>0</v>
      </c>
      <c r="B1954" t="s">
        <v>19</v>
      </c>
      <c r="C1954" t="s">
        <v>38</v>
      </c>
      <c r="D1954" t="s">
        <v>1550</v>
      </c>
      <c r="E1954" t="s">
        <v>2383</v>
      </c>
      <c r="F1954" t="s">
        <v>2440</v>
      </c>
      <c r="J1954" t="s">
        <v>2490</v>
      </c>
      <c r="K1954" t="s">
        <v>2572</v>
      </c>
      <c r="L1954" t="s">
        <v>2601</v>
      </c>
      <c r="M1954" t="s">
        <v>2631</v>
      </c>
    </row>
    <row r="1955" spans="1:13">
      <c r="A1955" s="1">
        <f>HYPERLINK("https://lsnyc.legalserver.org/matter/dynamic-profile/view/1868882","18-1868882")</f>
        <v>0</v>
      </c>
      <c r="B1955" t="s">
        <v>19</v>
      </c>
      <c r="C1955" t="s">
        <v>38</v>
      </c>
      <c r="D1955" t="s">
        <v>1550</v>
      </c>
      <c r="E1955" t="s">
        <v>2376</v>
      </c>
      <c r="F1955" t="s">
        <v>2440</v>
      </c>
      <c r="I1955" t="s">
        <v>2446</v>
      </c>
      <c r="J1955" t="s">
        <v>2490</v>
      </c>
      <c r="K1955" t="s">
        <v>2572</v>
      </c>
      <c r="L1955" t="s">
        <v>2601</v>
      </c>
      <c r="M1955" t="s">
        <v>2631</v>
      </c>
    </row>
    <row r="1956" spans="1:13">
      <c r="A1956" s="1">
        <f>HYPERLINK("https://lsnyc.legalserver.org/matter/dynamic-profile/view/1868886","18-1868886")</f>
        <v>0</v>
      </c>
      <c r="B1956" t="s">
        <v>16</v>
      </c>
      <c r="C1956" t="s">
        <v>23</v>
      </c>
      <c r="D1956" t="s">
        <v>1551</v>
      </c>
      <c r="E1956" t="s">
        <v>2390</v>
      </c>
      <c r="F1956" t="s">
        <v>2439</v>
      </c>
      <c r="I1956" t="s">
        <v>2446</v>
      </c>
      <c r="J1956" t="s">
        <v>2448</v>
      </c>
      <c r="K1956" t="s">
        <v>2569</v>
      </c>
      <c r="L1956" t="s">
        <v>2601</v>
      </c>
      <c r="M1956" t="s">
        <v>2631</v>
      </c>
    </row>
    <row r="1957" spans="1:13">
      <c r="A1957" s="1">
        <f>HYPERLINK("https://lsnyc.legalserver.org/matter/dynamic-profile/view/1868816","18-1868816")</f>
        <v>0</v>
      </c>
      <c r="B1957" t="s">
        <v>16</v>
      </c>
      <c r="C1957" t="s">
        <v>23</v>
      </c>
      <c r="D1957" t="s">
        <v>1552</v>
      </c>
      <c r="E1957" t="s">
        <v>2390</v>
      </c>
      <c r="F1957" t="s">
        <v>2439</v>
      </c>
      <c r="H1957" t="s">
        <v>2445</v>
      </c>
      <c r="J1957" t="s">
        <v>2448</v>
      </c>
      <c r="K1957" t="s">
        <v>2569</v>
      </c>
      <c r="L1957" t="s">
        <v>2601</v>
      </c>
      <c r="M1957" t="s">
        <v>2631</v>
      </c>
    </row>
    <row r="1958" spans="1:13">
      <c r="A1958" s="1">
        <f>HYPERLINK("https://lsnyc.legalserver.org/matter/dynamic-profile/view/1868855","18-1868855")</f>
        <v>0</v>
      </c>
      <c r="B1958" t="s">
        <v>16</v>
      </c>
      <c r="C1958" t="s">
        <v>23</v>
      </c>
      <c r="D1958" t="s">
        <v>1553</v>
      </c>
      <c r="E1958" t="s">
        <v>2390</v>
      </c>
      <c r="F1958" t="s">
        <v>2439</v>
      </c>
      <c r="I1958" t="s">
        <v>2446</v>
      </c>
      <c r="J1958" t="s">
        <v>2457</v>
      </c>
      <c r="K1958" t="s">
        <v>2569</v>
      </c>
      <c r="L1958" t="s">
        <v>2601</v>
      </c>
      <c r="M1958" t="s">
        <v>2631</v>
      </c>
    </row>
    <row r="1959" spans="1:13">
      <c r="A1959" s="1">
        <f>HYPERLINK("https://lsnyc.legalserver.org/matter/dynamic-profile/view/1868861","18-1868861")</f>
        <v>0</v>
      </c>
      <c r="B1959" t="s">
        <v>19</v>
      </c>
      <c r="C1959" t="s">
        <v>50</v>
      </c>
      <c r="D1959" t="s">
        <v>1554</v>
      </c>
      <c r="E1959" t="s">
        <v>2381</v>
      </c>
      <c r="I1959" t="s">
        <v>2446</v>
      </c>
      <c r="J1959" t="s">
        <v>2448</v>
      </c>
      <c r="K1959" t="s">
        <v>2569</v>
      </c>
      <c r="L1959" t="s">
        <v>2601</v>
      </c>
      <c r="M1959" t="s">
        <v>2631</v>
      </c>
    </row>
    <row r="1960" spans="1:13">
      <c r="A1960" s="1">
        <f>HYPERLINK("https://lsnyc.legalserver.org/matter/dynamic-profile/view/1868878","18-1868878")</f>
        <v>0</v>
      </c>
      <c r="B1960" t="s">
        <v>16</v>
      </c>
      <c r="C1960" t="s">
        <v>24</v>
      </c>
      <c r="D1960" t="s">
        <v>1555</v>
      </c>
      <c r="E1960" t="s">
        <v>2390</v>
      </c>
      <c r="F1960" t="s">
        <v>2439</v>
      </c>
      <c r="I1960" t="s">
        <v>2446</v>
      </c>
      <c r="J1960" t="s">
        <v>2448</v>
      </c>
      <c r="K1960" t="s">
        <v>2569</v>
      </c>
      <c r="L1960" t="s">
        <v>2601</v>
      </c>
      <c r="M1960" t="s">
        <v>2631</v>
      </c>
    </row>
    <row r="1961" spans="1:13">
      <c r="A1961" s="1">
        <f>HYPERLINK("https://lsnyc.legalserver.org/matter/dynamic-profile/view/1868870","18-1868870")</f>
        <v>0</v>
      </c>
      <c r="B1961" t="s">
        <v>16</v>
      </c>
      <c r="C1961" t="s">
        <v>24</v>
      </c>
      <c r="D1961" t="s">
        <v>1556</v>
      </c>
      <c r="E1961" t="s">
        <v>2390</v>
      </c>
      <c r="F1961" t="s">
        <v>2439</v>
      </c>
      <c r="I1961" t="s">
        <v>2446</v>
      </c>
      <c r="J1961" t="s">
        <v>2477</v>
      </c>
      <c r="K1961" t="s">
        <v>2569</v>
      </c>
      <c r="L1961" t="s">
        <v>2601</v>
      </c>
      <c r="M1961" t="s">
        <v>2631</v>
      </c>
    </row>
    <row r="1962" spans="1:13">
      <c r="A1962" s="1">
        <f>HYPERLINK("https://lsnyc.legalserver.org/matter/dynamic-profile/view/1868875","18-1868875")</f>
        <v>0</v>
      </c>
      <c r="B1962" t="s">
        <v>15</v>
      </c>
      <c r="C1962" t="s">
        <v>31</v>
      </c>
      <c r="D1962" t="s">
        <v>1557</v>
      </c>
      <c r="E1962" t="s">
        <v>2390</v>
      </c>
      <c r="F1962" t="s">
        <v>2437</v>
      </c>
      <c r="I1962" t="s">
        <v>2446</v>
      </c>
      <c r="J1962" t="s">
        <v>2448</v>
      </c>
      <c r="K1962" t="s">
        <v>2569</v>
      </c>
      <c r="L1962" t="s">
        <v>2604</v>
      </c>
      <c r="M1962" t="s">
        <v>2619</v>
      </c>
    </row>
    <row r="1963" spans="1:13">
      <c r="A1963" s="1">
        <f>HYPERLINK("https://lsnyc.legalserver.org/matter/dynamic-profile/view/1868771","18-1868771")</f>
        <v>0</v>
      </c>
      <c r="B1963" t="s">
        <v>14</v>
      </c>
      <c r="C1963" t="s">
        <v>20</v>
      </c>
      <c r="D1963" t="s">
        <v>1558</v>
      </c>
      <c r="E1963" t="s">
        <v>2394</v>
      </c>
      <c r="F1963" t="s">
        <v>2437</v>
      </c>
      <c r="I1963" t="s">
        <v>2446</v>
      </c>
      <c r="J1963" t="s">
        <v>2450</v>
      </c>
      <c r="K1963" t="s">
        <v>2569</v>
      </c>
      <c r="L1963" t="s">
        <v>2600</v>
      </c>
      <c r="M1963" t="s">
        <v>2627</v>
      </c>
    </row>
    <row r="1964" spans="1:13">
      <c r="A1964" s="1">
        <f>HYPERLINK("https://lsnyc.legalserver.org/matter/dynamic-profile/view/1868782","18-1868782")</f>
        <v>0</v>
      </c>
      <c r="B1964" t="s">
        <v>16</v>
      </c>
      <c r="C1964" t="s">
        <v>23</v>
      </c>
      <c r="D1964" t="s">
        <v>613</v>
      </c>
      <c r="E1964" t="s">
        <v>2390</v>
      </c>
      <c r="F1964" t="s">
        <v>2437</v>
      </c>
      <c r="I1964" t="s">
        <v>2446</v>
      </c>
      <c r="J1964" t="s">
        <v>2448</v>
      </c>
      <c r="K1964" t="s">
        <v>2569</v>
      </c>
      <c r="M1964" t="s">
        <v>2619</v>
      </c>
    </row>
    <row r="1965" spans="1:13">
      <c r="A1965" s="1">
        <f>HYPERLINK("https://lsnyc.legalserver.org/matter/dynamic-profile/view/1868810","18-1868810")</f>
        <v>0</v>
      </c>
      <c r="B1965" t="s">
        <v>16</v>
      </c>
      <c r="C1965" t="s">
        <v>23</v>
      </c>
      <c r="D1965" t="s">
        <v>1559</v>
      </c>
      <c r="E1965" t="s">
        <v>2390</v>
      </c>
      <c r="F1965" t="s">
        <v>2437</v>
      </c>
      <c r="I1965" t="s">
        <v>2446</v>
      </c>
      <c r="J1965" t="s">
        <v>2448</v>
      </c>
      <c r="K1965" t="s">
        <v>2569</v>
      </c>
      <c r="M1965" t="s">
        <v>2619</v>
      </c>
    </row>
    <row r="1966" spans="1:13">
      <c r="A1966" s="1">
        <f>HYPERLINK("https://lsnyc.legalserver.org/matter/dynamic-profile/view/1868814","18-1868814")</f>
        <v>0</v>
      </c>
      <c r="B1966" t="s">
        <v>16</v>
      </c>
      <c r="C1966" t="s">
        <v>23</v>
      </c>
      <c r="D1966" t="s">
        <v>1560</v>
      </c>
      <c r="E1966" t="s">
        <v>2390</v>
      </c>
      <c r="F1966" t="s">
        <v>2437</v>
      </c>
      <c r="I1966" t="s">
        <v>2446</v>
      </c>
      <c r="J1966" t="s">
        <v>2448</v>
      </c>
      <c r="K1966" t="s">
        <v>2569</v>
      </c>
      <c r="M1966" t="s">
        <v>2619</v>
      </c>
    </row>
    <row r="1967" spans="1:13">
      <c r="A1967" s="1">
        <f>HYPERLINK("https://lsnyc.legalserver.org/matter/dynamic-profile/view/1868859","18-1868859")</f>
        <v>0</v>
      </c>
      <c r="B1967" t="s">
        <v>16</v>
      </c>
      <c r="C1967" t="s">
        <v>23</v>
      </c>
      <c r="D1967" t="s">
        <v>1561</v>
      </c>
      <c r="E1967" t="s">
        <v>2390</v>
      </c>
      <c r="F1967" t="s">
        <v>2437</v>
      </c>
      <c r="I1967" t="s">
        <v>2446</v>
      </c>
      <c r="J1967" t="s">
        <v>2448</v>
      </c>
      <c r="K1967" t="s">
        <v>2569</v>
      </c>
      <c r="M1967" t="s">
        <v>2619</v>
      </c>
    </row>
    <row r="1968" spans="1:13">
      <c r="A1968" s="1">
        <f>HYPERLINK("https://lsnyc.legalserver.org/matter/dynamic-profile/view/1868862","18-1868862")</f>
        <v>0</v>
      </c>
      <c r="B1968" t="s">
        <v>16</v>
      </c>
      <c r="C1968" t="s">
        <v>46</v>
      </c>
      <c r="D1968" t="s">
        <v>1562</v>
      </c>
      <c r="E1968" t="s">
        <v>2390</v>
      </c>
      <c r="F1968" t="s">
        <v>2437</v>
      </c>
      <c r="I1968" t="s">
        <v>2446</v>
      </c>
      <c r="J1968" t="s">
        <v>2457</v>
      </c>
      <c r="K1968" t="s">
        <v>2569</v>
      </c>
      <c r="M1968" t="s">
        <v>2619</v>
      </c>
    </row>
    <row r="1969" spans="1:13">
      <c r="A1969" s="1">
        <f>HYPERLINK("https://lsnyc.legalserver.org/matter/dynamic-profile/view/1868907","18-1868907")</f>
        <v>0</v>
      </c>
      <c r="B1969" t="s">
        <v>16</v>
      </c>
      <c r="C1969" t="s">
        <v>23</v>
      </c>
      <c r="D1969" t="s">
        <v>1563</v>
      </c>
      <c r="E1969" t="s">
        <v>2375</v>
      </c>
      <c r="F1969" t="s">
        <v>2437</v>
      </c>
      <c r="H1969" t="s">
        <v>2445</v>
      </c>
      <c r="J1969" t="s">
        <v>2483</v>
      </c>
      <c r="K1969" t="s">
        <v>2571</v>
      </c>
      <c r="M1969" t="s">
        <v>2617</v>
      </c>
    </row>
    <row r="1970" spans="1:13">
      <c r="A1970" s="1">
        <f>HYPERLINK("https://lsnyc.legalserver.org/matter/dynamic-profile/view/1868696","18-1868696")</f>
        <v>0</v>
      </c>
      <c r="B1970" t="s">
        <v>18</v>
      </c>
      <c r="C1970" t="s">
        <v>34</v>
      </c>
      <c r="D1970" t="s">
        <v>1564</v>
      </c>
      <c r="E1970" t="s">
        <v>2390</v>
      </c>
      <c r="F1970" t="s">
        <v>2439</v>
      </c>
      <c r="J1970" t="s">
        <v>2537</v>
      </c>
      <c r="K1970" t="s">
        <v>2597</v>
      </c>
      <c r="L1970" t="s">
        <v>2601</v>
      </c>
      <c r="M1970" t="s">
        <v>2631</v>
      </c>
    </row>
    <row r="1971" spans="1:13">
      <c r="A1971" s="1">
        <f>HYPERLINK("https://lsnyc.legalserver.org/matter/dynamic-profile/view/1868708","18-1868708")</f>
        <v>0</v>
      </c>
      <c r="B1971" t="s">
        <v>16</v>
      </c>
      <c r="C1971" t="s">
        <v>23</v>
      </c>
      <c r="D1971" t="s">
        <v>1565</v>
      </c>
      <c r="E1971" t="s">
        <v>2390</v>
      </c>
      <c r="F1971" t="s">
        <v>2439</v>
      </c>
      <c r="I1971" t="s">
        <v>2446</v>
      </c>
      <c r="J1971" t="s">
        <v>2452</v>
      </c>
      <c r="K1971" t="s">
        <v>2572</v>
      </c>
      <c r="L1971" t="s">
        <v>2601</v>
      </c>
      <c r="M1971" t="s">
        <v>2631</v>
      </c>
    </row>
    <row r="1972" spans="1:13">
      <c r="A1972" s="1">
        <f>HYPERLINK("https://lsnyc.legalserver.org/matter/dynamic-profile/view/1868648","18-1868648")</f>
        <v>0</v>
      </c>
      <c r="B1972" t="s">
        <v>15</v>
      </c>
      <c r="C1972" t="s">
        <v>49</v>
      </c>
      <c r="D1972" t="s">
        <v>1566</v>
      </c>
      <c r="E1972" t="s">
        <v>2390</v>
      </c>
      <c r="F1972" t="s">
        <v>2436</v>
      </c>
      <c r="H1972" t="s">
        <v>2445</v>
      </c>
      <c r="J1972" t="s">
        <v>2455</v>
      </c>
      <c r="K1972" t="s">
        <v>2569</v>
      </c>
      <c r="M1972" t="s">
        <v>2436</v>
      </c>
    </row>
    <row r="1973" spans="1:13">
      <c r="A1973" s="1">
        <f>HYPERLINK("https://lsnyc.legalserver.org/matter/dynamic-profile/view/1868665","18-1868665")</f>
        <v>0</v>
      </c>
      <c r="B1973" t="s">
        <v>16</v>
      </c>
      <c r="C1973" t="s">
        <v>23</v>
      </c>
      <c r="D1973" t="s">
        <v>1567</v>
      </c>
      <c r="E1973" t="s">
        <v>2370</v>
      </c>
      <c r="F1973" t="s">
        <v>2437</v>
      </c>
      <c r="I1973" t="s">
        <v>2446</v>
      </c>
      <c r="J1973" t="s">
        <v>2452</v>
      </c>
      <c r="K1973" t="s">
        <v>2572</v>
      </c>
      <c r="M1973" t="s">
        <v>2638</v>
      </c>
    </row>
    <row r="1974" spans="1:13">
      <c r="A1974" s="1">
        <f>HYPERLINK("https://lsnyc.legalserver.org/matter/dynamic-profile/view/1868678","18-1868678")</f>
        <v>0</v>
      </c>
      <c r="B1974" t="s">
        <v>16</v>
      </c>
      <c r="C1974" t="s">
        <v>23</v>
      </c>
      <c r="D1974" t="s">
        <v>1568</v>
      </c>
      <c r="E1974" t="s">
        <v>2375</v>
      </c>
      <c r="F1974" t="s">
        <v>2437</v>
      </c>
      <c r="I1974" t="s">
        <v>2446</v>
      </c>
      <c r="J1974" t="s">
        <v>2452</v>
      </c>
      <c r="K1974" t="s">
        <v>2572</v>
      </c>
      <c r="M1974" t="s">
        <v>2617</v>
      </c>
    </row>
    <row r="1975" spans="1:13">
      <c r="A1975" s="1">
        <f>HYPERLINK("https://lsnyc.legalserver.org/matter/dynamic-profile/view/1868697","18-1868697")</f>
        <v>0</v>
      </c>
      <c r="B1975" t="s">
        <v>16</v>
      </c>
      <c r="C1975" t="s">
        <v>23</v>
      </c>
      <c r="D1975" t="s">
        <v>1569</v>
      </c>
      <c r="E1975" t="s">
        <v>2387</v>
      </c>
      <c r="F1975" t="s">
        <v>2437</v>
      </c>
      <c r="I1975" t="s">
        <v>2446</v>
      </c>
      <c r="J1975" t="s">
        <v>2463</v>
      </c>
      <c r="K1975" t="s">
        <v>2572</v>
      </c>
      <c r="M1975" t="s">
        <v>2629</v>
      </c>
    </row>
    <row r="1976" spans="1:13">
      <c r="A1976" s="1">
        <f>HYPERLINK("https://lsnyc.legalserver.org/matter/dynamic-profile/view/1868717","18-1868717")</f>
        <v>0</v>
      </c>
      <c r="B1976" t="s">
        <v>16</v>
      </c>
      <c r="C1976" t="s">
        <v>23</v>
      </c>
      <c r="D1976" t="s">
        <v>1570</v>
      </c>
      <c r="E1976" t="s">
        <v>2390</v>
      </c>
      <c r="F1976" t="s">
        <v>2437</v>
      </c>
      <c r="I1976" t="s">
        <v>2446</v>
      </c>
      <c r="J1976" t="s">
        <v>2448</v>
      </c>
      <c r="K1976" t="s">
        <v>2569</v>
      </c>
      <c r="M1976" t="s">
        <v>2626</v>
      </c>
    </row>
    <row r="1977" spans="1:13">
      <c r="A1977" s="1">
        <f>HYPERLINK("https://lsnyc.legalserver.org/matter/dynamic-profile/view/1868720","18-1868720")</f>
        <v>0</v>
      </c>
      <c r="B1977" t="s">
        <v>16</v>
      </c>
      <c r="C1977" t="s">
        <v>23</v>
      </c>
      <c r="D1977" t="s">
        <v>1571</v>
      </c>
      <c r="E1977" t="s">
        <v>2393</v>
      </c>
      <c r="F1977" t="s">
        <v>2437</v>
      </c>
      <c r="I1977" t="s">
        <v>2446</v>
      </c>
      <c r="J1977" t="s">
        <v>2466</v>
      </c>
      <c r="L1977" t="s">
        <v>2600</v>
      </c>
      <c r="M1977" t="s">
        <v>2626</v>
      </c>
    </row>
    <row r="1978" spans="1:13">
      <c r="A1978" s="1">
        <f>HYPERLINK("https://lsnyc.legalserver.org/matter/dynamic-profile/view/1868736","18-1868736")</f>
        <v>0</v>
      </c>
      <c r="B1978" t="s">
        <v>16</v>
      </c>
      <c r="C1978" t="s">
        <v>23</v>
      </c>
      <c r="D1978" t="s">
        <v>1572</v>
      </c>
      <c r="E1978" t="s">
        <v>2387</v>
      </c>
      <c r="F1978" t="s">
        <v>2437</v>
      </c>
      <c r="I1978" t="s">
        <v>2446</v>
      </c>
      <c r="J1978" t="s">
        <v>2452</v>
      </c>
      <c r="M1978" t="s">
        <v>2629</v>
      </c>
    </row>
    <row r="1979" spans="1:13">
      <c r="A1979" s="1">
        <f>HYPERLINK("https://lsnyc.legalserver.org/matter/dynamic-profile/view/1868741","18-1868741")</f>
        <v>0</v>
      </c>
      <c r="B1979" t="s">
        <v>16</v>
      </c>
      <c r="C1979" t="s">
        <v>23</v>
      </c>
      <c r="D1979" t="s">
        <v>1572</v>
      </c>
      <c r="E1979" t="s">
        <v>2393</v>
      </c>
      <c r="F1979" t="s">
        <v>2437</v>
      </c>
      <c r="I1979" t="s">
        <v>2446</v>
      </c>
      <c r="J1979" t="s">
        <v>2452</v>
      </c>
      <c r="M1979" t="s">
        <v>2637</v>
      </c>
    </row>
    <row r="1980" spans="1:13">
      <c r="A1980" s="1">
        <f>HYPERLINK("https://lsnyc.legalserver.org/matter/dynamic-profile/view/1868755","18-1868755")</f>
        <v>0</v>
      </c>
      <c r="B1980" t="s">
        <v>16</v>
      </c>
      <c r="C1980" t="s">
        <v>23</v>
      </c>
      <c r="D1980" t="s">
        <v>622</v>
      </c>
      <c r="E1980" t="s">
        <v>2390</v>
      </c>
      <c r="F1980" t="s">
        <v>2437</v>
      </c>
      <c r="I1980" t="s">
        <v>2446</v>
      </c>
      <c r="J1980" t="s">
        <v>2452</v>
      </c>
      <c r="K1980" t="s">
        <v>2572</v>
      </c>
      <c r="M1980" t="s">
        <v>2619</v>
      </c>
    </row>
    <row r="1981" spans="1:13">
      <c r="A1981" s="1">
        <f>HYPERLINK("https://lsnyc.legalserver.org/matter/dynamic-profile/view/1869613","18-1869613")</f>
        <v>0</v>
      </c>
      <c r="B1981" t="s">
        <v>15</v>
      </c>
      <c r="C1981" t="s">
        <v>73</v>
      </c>
      <c r="D1981" t="s">
        <v>1573</v>
      </c>
      <c r="E1981" t="s">
        <v>2390</v>
      </c>
      <c r="F1981" t="s">
        <v>2437</v>
      </c>
      <c r="I1981" t="s">
        <v>2446</v>
      </c>
      <c r="J1981" t="s">
        <v>2460</v>
      </c>
      <c r="K1981" t="s">
        <v>2581</v>
      </c>
      <c r="L1981" t="s">
        <v>2603</v>
      </c>
      <c r="M1981" t="s">
        <v>2619</v>
      </c>
    </row>
    <row r="1982" spans="1:13">
      <c r="A1982" s="1">
        <f>HYPERLINK("https://lsnyc.legalserver.org/matter/dynamic-profile/view/1868513","18-1868513")</f>
        <v>0</v>
      </c>
      <c r="B1982" t="s">
        <v>16</v>
      </c>
      <c r="C1982" t="s">
        <v>23</v>
      </c>
      <c r="D1982" t="s">
        <v>1574</v>
      </c>
      <c r="E1982" t="s">
        <v>2375</v>
      </c>
      <c r="F1982" t="s">
        <v>2437</v>
      </c>
      <c r="I1982" t="s">
        <v>2446</v>
      </c>
      <c r="J1982" t="s">
        <v>2457</v>
      </c>
      <c r="K1982" t="s">
        <v>2569</v>
      </c>
      <c r="M1982" t="s">
        <v>2617</v>
      </c>
    </row>
    <row r="1983" spans="1:13">
      <c r="A1983" s="1">
        <f>HYPERLINK("https://lsnyc.legalserver.org/matter/dynamic-profile/view/1868597","18-1868597")</f>
        <v>0</v>
      </c>
      <c r="B1983" t="s">
        <v>19</v>
      </c>
      <c r="C1983" t="s">
        <v>54</v>
      </c>
      <c r="D1983" t="s">
        <v>1575</v>
      </c>
      <c r="E1983" t="s">
        <v>2391</v>
      </c>
      <c r="F1983" t="s">
        <v>2438</v>
      </c>
      <c r="I1983" t="s">
        <v>2446</v>
      </c>
      <c r="J1983" t="s">
        <v>2465</v>
      </c>
      <c r="K1983" t="s">
        <v>2569</v>
      </c>
      <c r="L1983" t="s">
        <v>2600</v>
      </c>
      <c r="M1983" t="s">
        <v>2615</v>
      </c>
    </row>
    <row r="1984" spans="1:13">
      <c r="A1984" s="1">
        <f>HYPERLINK("https://lsnyc.legalserver.org/matter/dynamic-profile/view/1868601","18-1868601")</f>
        <v>0</v>
      </c>
      <c r="B1984" t="s">
        <v>19</v>
      </c>
      <c r="C1984" t="s">
        <v>54</v>
      </c>
      <c r="D1984" t="s">
        <v>1576</v>
      </c>
      <c r="E1984" t="s">
        <v>2391</v>
      </c>
      <c r="F1984" t="s">
        <v>2441</v>
      </c>
      <c r="I1984" t="s">
        <v>2446</v>
      </c>
      <c r="J1984" t="s">
        <v>2465</v>
      </c>
      <c r="K1984" t="s">
        <v>2569</v>
      </c>
      <c r="L1984" t="s">
        <v>2600</v>
      </c>
      <c r="M1984" t="s">
        <v>2615</v>
      </c>
    </row>
    <row r="1985" spans="1:14">
      <c r="A1985" s="1">
        <f>HYPERLINK("https://lsnyc.legalserver.org/matter/dynamic-profile/view/1868609","18-1868609")</f>
        <v>0</v>
      </c>
      <c r="B1985" t="s">
        <v>19</v>
      </c>
      <c r="C1985" t="s">
        <v>54</v>
      </c>
      <c r="D1985" t="s">
        <v>1577</v>
      </c>
      <c r="E1985" t="s">
        <v>2374</v>
      </c>
      <c r="F1985" t="s">
        <v>2438</v>
      </c>
      <c r="I1985" t="s">
        <v>2446</v>
      </c>
      <c r="J1985" t="s">
        <v>2476</v>
      </c>
      <c r="K1985" t="s">
        <v>2572</v>
      </c>
      <c r="M1985" t="s">
        <v>2616</v>
      </c>
    </row>
    <row r="1986" spans="1:14">
      <c r="A1986" s="1">
        <f>HYPERLINK("https://lsnyc.legalserver.org/matter/dynamic-profile/view/1868621","18-1868621")</f>
        <v>0</v>
      </c>
      <c r="B1986" t="s">
        <v>19</v>
      </c>
      <c r="C1986" t="s">
        <v>54</v>
      </c>
      <c r="D1986" t="s">
        <v>1578</v>
      </c>
      <c r="E1986" t="s">
        <v>2376</v>
      </c>
      <c r="F1986" t="s">
        <v>2437</v>
      </c>
      <c r="I1986" t="s">
        <v>2446</v>
      </c>
      <c r="J1986" t="s">
        <v>2500</v>
      </c>
      <c r="K1986" t="s">
        <v>2572</v>
      </c>
      <c r="L1986" t="s">
        <v>2600</v>
      </c>
      <c r="M1986" t="s">
        <v>2618</v>
      </c>
    </row>
    <row r="1987" spans="1:14">
      <c r="A1987" s="1">
        <f>HYPERLINK("https://lsnyc.legalserver.org/matter/dynamic-profile/view/1868637","18-1868637")</f>
        <v>0</v>
      </c>
      <c r="B1987" t="s">
        <v>14</v>
      </c>
      <c r="C1987" t="s">
        <v>21</v>
      </c>
      <c r="D1987" t="s">
        <v>1579</v>
      </c>
      <c r="E1987" t="s">
        <v>2383</v>
      </c>
      <c r="F1987" t="s">
        <v>2437</v>
      </c>
      <c r="I1987" t="s">
        <v>2446</v>
      </c>
      <c r="J1987" t="s">
        <v>2448</v>
      </c>
      <c r="K1987" t="s">
        <v>2569</v>
      </c>
      <c r="L1987" t="s">
        <v>2600</v>
      </c>
      <c r="M1987" t="s">
        <v>2624</v>
      </c>
      <c r="N1987" t="s">
        <v>2648</v>
      </c>
    </row>
    <row r="1988" spans="1:14">
      <c r="A1988" s="1">
        <f>HYPERLINK("https://lsnyc.legalserver.org/matter/dynamic-profile/view/1868639","18-1868639")</f>
        <v>0</v>
      </c>
      <c r="B1988" t="s">
        <v>14</v>
      </c>
      <c r="C1988" t="s">
        <v>21</v>
      </c>
      <c r="D1988" t="s">
        <v>1073</v>
      </c>
      <c r="E1988" t="s">
        <v>2374</v>
      </c>
      <c r="F1988" t="s">
        <v>2438</v>
      </c>
      <c r="J1988" t="s">
        <v>2450</v>
      </c>
      <c r="K1988" t="s">
        <v>2569</v>
      </c>
      <c r="M1988" t="s">
        <v>2616</v>
      </c>
      <c r="N1988" t="s">
        <v>2649</v>
      </c>
    </row>
    <row r="1989" spans="1:14">
      <c r="A1989" s="1">
        <f>HYPERLINK("https://lsnyc.legalserver.org/matter/dynamic-profile/view/1868415","18-1868415")</f>
        <v>0</v>
      </c>
      <c r="B1989" t="s">
        <v>16</v>
      </c>
      <c r="C1989" t="s">
        <v>23</v>
      </c>
      <c r="D1989" t="s">
        <v>1580</v>
      </c>
      <c r="E1989" t="s">
        <v>2390</v>
      </c>
      <c r="F1989" t="s">
        <v>2437</v>
      </c>
      <c r="I1989" t="s">
        <v>2446</v>
      </c>
      <c r="J1989" t="s">
        <v>2448</v>
      </c>
      <c r="K1989" t="s">
        <v>2572</v>
      </c>
      <c r="L1989" t="s">
        <v>2601</v>
      </c>
      <c r="M1989" t="s">
        <v>2631</v>
      </c>
    </row>
    <row r="1990" spans="1:14">
      <c r="A1990" s="1">
        <f>HYPERLINK("https://lsnyc.legalserver.org/matter/dynamic-profile/view/1865496","18-1865496")</f>
        <v>0</v>
      </c>
      <c r="B1990" t="s">
        <v>17</v>
      </c>
      <c r="C1990" t="s">
        <v>25</v>
      </c>
      <c r="D1990" t="s">
        <v>1102</v>
      </c>
      <c r="E1990" t="s">
        <v>2375</v>
      </c>
      <c r="F1990" t="s">
        <v>2437</v>
      </c>
      <c r="I1990" t="s">
        <v>2446</v>
      </c>
      <c r="J1990" t="s">
        <v>2454</v>
      </c>
      <c r="K1990" t="s">
        <v>2572</v>
      </c>
      <c r="L1990" t="s">
        <v>2608</v>
      </c>
      <c r="M1990" t="s">
        <v>2617</v>
      </c>
    </row>
    <row r="1991" spans="1:14">
      <c r="A1991" s="1">
        <f>HYPERLINK("https://lsnyc.legalserver.org/matter/dynamic-profile/view/1868390","18-1868390")</f>
        <v>0</v>
      </c>
      <c r="B1991" t="s">
        <v>16</v>
      </c>
      <c r="C1991" t="s">
        <v>23</v>
      </c>
      <c r="D1991" t="s">
        <v>467</v>
      </c>
      <c r="E1991" t="s">
        <v>2374</v>
      </c>
      <c r="F1991" t="s">
        <v>2437</v>
      </c>
      <c r="I1991" t="s">
        <v>2446</v>
      </c>
      <c r="J1991" t="s">
        <v>2450</v>
      </c>
      <c r="K1991" t="s">
        <v>2569</v>
      </c>
      <c r="M1991" t="s">
        <v>2616</v>
      </c>
    </row>
    <row r="1992" spans="1:14">
      <c r="A1992" s="1">
        <f>HYPERLINK("https://lsnyc.legalserver.org/matter/dynamic-profile/view/1868443","18-1868443")</f>
        <v>0</v>
      </c>
      <c r="B1992" t="s">
        <v>16</v>
      </c>
      <c r="C1992" t="s">
        <v>23</v>
      </c>
      <c r="D1992" t="s">
        <v>880</v>
      </c>
      <c r="E1992" t="s">
        <v>2390</v>
      </c>
      <c r="F1992" t="s">
        <v>2437</v>
      </c>
      <c r="I1992" t="s">
        <v>2446</v>
      </c>
      <c r="J1992" t="s">
        <v>2467</v>
      </c>
      <c r="K1992" t="s">
        <v>2572</v>
      </c>
      <c r="M1992" t="s">
        <v>2626</v>
      </c>
    </row>
    <row r="1993" spans="1:14">
      <c r="A1993" s="1">
        <f>HYPERLINK("https://lsnyc.legalserver.org/matter/dynamic-profile/view/1868479","18-1868479")</f>
        <v>0</v>
      </c>
      <c r="B1993" t="s">
        <v>16</v>
      </c>
      <c r="C1993" t="s">
        <v>46</v>
      </c>
      <c r="D1993" t="s">
        <v>608</v>
      </c>
      <c r="E1993" t="s">
        <v>2390</v>
      </c>
      <c r="F1993" t="s">
        <v>2437</v>
      </c>
      <c r="I1993" t="s">
        <v>2446</v>
      </c>
      <c r="J1993" t="s">
        <v>2448</v>
      </c>
      <c r="K1993" t="s">
        <v>2569</v>
      </c>
      <c r="M1993" t="s">
        <v>2619</v>
      </c>
    </row>
    <row r="1994" spans="1:14">
      <c r="A1994" s="1">
        <f>HYPERLINK("https://lsnyc.legalserver.org/matter/dynamic-profile/view/1868339","18-1868339")</f>
        <v>0</v>
      </c>
      <c r="B1994" t="s">
        <v>19</v>
      </c>
      <c r="C1994" t="s">
        <v>38</v>
      </c>
      <c r="D1994" t="s">
        <v>1581</v>
      </c>
      <c r="E1994" t="s">
        <v>2393</v>
      </c>
      <c r="F1994" t="s">
        <v>2437</v>
      </c>
      <c r="I1994" t="s">
        <v>2446</v>
      </c>
      <c r="J1994" t="s">
        <v>2447</v>
      </c>
      <c r="K1994" t="s">
        <v>2572</v>
      </c>
      <c r="L1994" t="s">
        <v>2600</v>
      </c>
      <c r="M1994" t="s">
        <v>2637</v>
      </c>
    </row>
    <row r="1995" spans="1:14">
      <c r="A1995" s="1">
        <f>HYPERLINK("https://lsnyc.legalserver.org/matter/dynamic-profile/view/1868318","18-1868318")</f>
        <v>0</v>
      </c>
      <c r="B1995" t="s">
        <v>16</v>
      </c>
      <c r="C1995" t="s">
        <v>46</v>
      </c>
      <c r="D1995" t="s">
        <v>1582</v>
      </c>
      <c r="E1995" t="s">
        <v>2375</v>
      </c>
      <c r="F1995" t="s">
        <v>2439</v>
      </c>
      <c r="I1995" t="s">
        <v>2446</v>
      </c>
      <c r="J1995" t="s">
        <v>2463</v>
      </c>
      <c r="K1995" t="s">
        <v>2572</v>
      </c>
      <c r="L1995" t="s">
        <v>2602</v>
      </c>
      <c r="M1995" t="s">
        <v>2631</v>
      </c>
    </row>
    <row r="1996" spans="1:14">
      <c r="A1996" s="1">
        <f>HYPERLINK("https://lsnyc.legalserver.org/matter/dynamic-profile/view/1868210","18-1868210")</f>
        <v>0</v>
      </c>
      <c r="B1996" t="s">
        <v>16</v>
      </c>
      <c r="C1996" t="s">
        <v>23</v>
      </c>
      <c r="D1996" t="s">
        <v>1583</v>
      </c>
      <c r="E1996" t="s">
        <v>2390</v>
      </c>
      <c r="F1996" t="s">
        <v>2439</v>
      </c>
      <c r="I1996" t="s">
        <v>2446</v>
      </c>
      <c r="J1996" t="s">
        <v>2448</v>
      </c>
      <c r="K1996" t="s">
        <v>2569</v>
      </c>
      <c r="L1996" t="s">
        <v>2601</v>
      </c>
      <c r="M1996" t="s">
        <v>2631</v>
      </c>
    </row>
    <row r="1997" spans="1:14">
      <c r="A1997" s="1">
        <f>HYPERLINK("https://lsnyc.legalserver.org/matter/dynamic-profile/view/1868157","18-1868157")</f>
        <v>0</v>
      </c>
      <c r="B1997" t="s">
        <v>16</v>
      </c>
      <c r="C1997" t="s">
        <v>23</v>
      </c>
      <c r="D1997" t="s">
        <v>1584</v>
      </c>
      <c r="E1997" t="s">
        <v>2390</v>
      </c>
      <c r="F1997" t="s">
        <v>2437</v>
      </c>
      <c r="I1997" t="s">
        <v>2446</v>
      </c>
      <c r="J1997" t="s">
        <v>2448</v>
      </c>
      <c r="K1997" t="s">
        <v>2569</v>
      </c>
      <c r="M1997" t="s">
        <v>2619</v>
      </c>
    </row>
    <row r="1998" spans="1:14">
      <c r="A1998" s="1">
        <f>HYPERLINK("https://lsnyc.legalserver.org/matter/dynamic-profile/view/1868164","18-1868164")</f>
        <v>0</v>
      </c>
      <c r="B1998" t="s">
        <v>16</v>
      </c>
      <c r="C1998" t="s">
        <v>23</v>
      </c>
      <c r="D1998" t="s">
        <v>1072</v>
      </c>
      <c r="E1998" t="s">
        <v>2390</v>
      </c>
      <c r="F1998" t="s">
        <v>2437</v>
      </c>
      <c r="I1998" t="s">
        <v>2446</v>
      </c>
      <c r="J1998" t="s">
        <v>2448</v>
      </c>
      <c r="K1998" t="s">
        <v>2569</v>
      </c>
      <c r="M1998" t="s">
        <v>2619</v>
      </c>
    </row>
    <row r="1999" spans="1:14">
      <c r="A1999" s="1">
        <f>HYPERLINK("https://lsnyc.legalserver.org/matter/dynamic-profile/view/1868185","18-1868185")</f>
        <v>0</v>
      </c>
      <c r="B1999" t="s">
        <v>16</v>
      </c>
      <c r="C1999" t="s">
        <v>23</v>
      </c>
      <c r="D1999" t="s">
        <v>1585</v>
      </c>
      <c r="E1999" t="s">
        <v>2406</v>
      </c>
      <c r="F1999" t="s">
        <v>2437</v>
      </c>
      <c r="I1999" t="s">
        <v>2446</v>
      </c>
      <c r="J1999" t="s">
        <v>2455</v>
      </c>
      <c r="K1999" t="s">
        <v>2569</v>
      </c>
      <c r="M1999" t="s">
        <v>2642</v>
      </c>
    </row>
    <row r="2000" spans="1:14">
      <c r="A2000" s="1">
        <f>HYPERLINK("https://lsnyc.legalserver.org/matter/dynamic-profile/view/1868232","18-1868232")</f>
        <v>0</v>
      </c>
      <c r="B2000" t="s">
        <v>16</v>
      </c>
      <c r="C2000" t="s">
        <v>23</v>
      </c>
      <c r="D2000" t="s">
        <v>1586</v>
      </c>
      <c r="E2000" t="s">
        <v>2375</v>
      </c>
      <c r="F2000" t="s">
        <v>2437</v>
      </c>
      <c r="I2000" t="s">
        <v>2446</v>
      </c>
      <c r="J2000" t="s">
        <v>2467</v>
      </c>
      <c r="K2000" t="s">
        <v>2572</v>
      </c>
      <c r="M2000" t="s">
        <v>2617</v>
      </c>
    </row>
    <row r="2001" spans="1:13">
      <c r="A2001" s="1">
        <f>HYPERLINK("https://lsnyc.legalserver.org/matter/dynamic-profile/view/1868266","18-1868266")</f>
        <v>0</v>
      </c>
      <c r="B2001" t="s">
        <v>14</v>
      </c>
      <c r="C2001" t="s">
        <v>44</v>
      </c>
      <c r="D2001" t="s">
        <v>1587</v>
      </c>
      <c r="E2001" t="s">
        <v>2390</v>
      </c>
      <c r="F2001" t="s">
        <v>2437</v>
      </c>
      <c r="I2001" t="s">
        <v>2446</v>
      </c>
      <c r="J2001" t="s">
        <v>2450</v>
      </c>
      <c r="K2001" t="s">
        <v>2569</v>
      </c>
      <c r="L2001" t="s">
        <v>2600</v>
      </c>
      <c r="M2001" t="s">
        <v>2619</v>
      </c>
    </row>
    <row r="2002" spans="1:13">
      <c r="A2002" s="1">
        <f>HYPERLINK("https://lsnyc.legalserver.org/matter/dynamic-profile/view/1868114","18-1868114")</f>
        <v>0</v>
      </c>
      <c r="B2002" t="s">
        <v>18</v>
      </c>
      <c r="C2002" t="s">
        <v>35</v>
      </c>
      <c r="D2002" t="s">
        <v>1588</v>
      </c>
      <c r="E2002" t="s">
        <v>2375</v>
      </c>
      <c r="F2002" t="s">
        <v>2439</v>
      </c>
      <c r="J2002" t="s">
        <v>2502</v>
      </c>
      <c r="K2002" t="s">
        <v>2582</v>
      </c>
      <c r="L2002" t="s">
        <v>2602</v>
      </c>
      <c r="M2002" t="s">
        <v>2631</v>
      </c>
    </row>
    <row r="2003" spans="1:13">
      <c r="A2003" s="1">
        <f>HYPERLINK("https://lsnyc.legalserver.org/matter/dynamic-profile/view/1868118","18-1868118")</f>
        <v>0</v>
      </c>
      <c r="B2003" t="s">
        <v>15</v>
      </c>
      <c r="C2003" t="s">
        <v>37</v>
      </c>
      <c r="D2003" t="s">
        <v>1589</v>
      </c>
      <c r="E2003" t="s">
        <v>2376</v>
      </c>
      <c r="F2003" t="s">
        <v>2437</v>
      </c>
      <c r="I2003" t="s">
        <v>2446</v>
      </c>
      <c r="J2003" t="s">
        <v>2450</v>
      </c>
      <c r="K2003" t="s">
        <v>2569</v>
      </c>
      <c r="L2003" t="s">
        <v>2604</v>
      </c>
      <c r="M2003" t="s">
        <v>2618</v>
      </c>
    </row>
    <row r="2004" spans="1:13">
      <c r="A2004" s="1">
        <f>HYPERLINK("https://lsnyc.legalserver.org/matter/dynamic-profile/view/1868107","18-1868107")</f>
        <v>0</v>
      </c>
      <c r="B2004" t="s">
        <v>15</v>
      </c>
      <c r="C2004" t="s">
        <v>37</v>
      </c>
      <c r="D2004" t="s">
        <v>1590</v>
      </c>
      <c r="E2004" t="s">
        <v>2376</v>
      </c>
      <c r="F2004" t="s">
        <v>2437</v>
      </c>
      <c r="I2004" t="s">
        <v>2446</v>
      </c>
      <c r="J2004" t="s">
        <v>2450</v>
      </c>
      <c r="K2004" t="s">
        <v>2569</v>
      </c>
      <c r="L2004" t="s">
        <v>2604</v>
      </c>
      <c r="M2004" t="s">
        <v>2618</v>
      </c>
    </row>
    <row r="2005" spans="1:13">
      <c r="A2005" s="1">
        <f>HYPERLINK("https://lsnyc.legalserver.org/matter/dynamic-profile/view/1868046","18-1868046")</f>
        <v>0</v>
      </c>
      <c r="B2005" t="s">
        <v>16</v>
      </c>
      <c r="C2005" t="s">
        <v>23</v>
      </c>
      <c r="D2005" t="s">
        <v>1591</v>
      </c>
      <c r="E2005" t="s">
        <v>2390</v>
      </c>
      <c r="F2005" t="s">
        <v>2437</v>
      </c>
      <c r="I2005" t="s">
        <v>2446</v>
      </c>
      <c r="J2005" t="s">
        <v>2448</v>
      </c>
      <c r="K2005" t="s">
        <v>2569</v>
      </c>
      <c r="M2005" t="s">
        <v>2626</v>
      </c>
    </row>
    <row r="2006" spans="1:13">
      <c r="A2006" s="1">
        <f>HYPERLINK("https://lsnyc.legalserver.org/matter/dynamic-profile/view/1868135","18-1868135")</f>
        <v>0</v>
      </c>
      <c r="B2006" t="s">
        <v>15</v>
      </c>
      <c r="C2006" t="s">
        <v>49</v>
      </c>
      <c r="D2006" t="s">
        <v>1592</v>
      </c>
      <c r="E2006" t="s">
        <v>2390</v>
      </c>
      <c r="F2006" t="s">
        <v>2437</v>
      </c>
      <c r="I2006" t="s">
        <v>2446</v>
      </c>
      <c r="J2006" t="s">
        <v>2448</v>
      </c>
      <c r="K2006" t="s">
        <v>2569</v>
      </c>
      <c r="M2006" t="s">
        <v>2619</v>
      </c>
    </row>
    <row r="2007" spans="1:13">
      <c r="A2007" s="1">
        <f>HYPERLINK("https://lsnyc.legalserver.org/matter/dynamic-profile/view/1867620","18-1867620")</f>
        <v>0</v>
      </c>
      <c r="B2007" t="s">
        <v>14</v>
      </c>
      <c r="C2007" t="s">
        <v>20</v>
      </c>
      <c r="D2007" t="s">
        <v>1593</v>
      </c>
      <c r="E2007" t="s">
        <v>2405</v>
      </c>
      <c r="F2007" t="s">
        <v>2437</v>
      </c>
      <c r="I2007" t="s">
        <v>2446</v>
      </c>
      <c r="J2007" t="s">
        <v>2457</v>
      </c>
      <c r="K2007" t="s">
        <v>2569</v>
      </c>
      <c r="L2007" t="s">
        <v>2601</v>
      </c>
      <c r="M2007" t="s">
        <v>2641</v>
      </c>
    </row>
    <row r="2008" spans="1:13">
      <c r="A2008" s="1">
        <f>HYPERLINK("https://lsnyc.legalserver.org/matter/dynamic-profile/view/1867960","18-1867960")</f>
        <v>0</v>
      </c>
      <c r="B2008" t="s">
        <v>16</v>
      </c>
      <c r="C2008" t="s">
        <v>23</v>
      </c>
      <c r="D2008" t="s">
        <v>1594</v>
      </c>
      <c r="E2008" t="s">
        <v>2375</v>
      </c>
      <c r="F2008" t="s">
        <v>2439</v>
      </c>
      <c r="I2008" t="s">
        <v>2446</v>
      </c>
      <c r="J2008" t="s">
        <v>2455</v>
      </c>
      <c r="K2008" t="s">
        <v>2569</v>
      </c>
      <c r="L2008" t="s">
        <v>2601</v>
      </c>
      <c r="M2008" t="s">
        <v>2631</v>
      </c>
    </row>
    <row r="2009" spans="1:13">
      <c r="A2009" s="1">
        <f>HYPERLINK("https://lsnyc.legalserver.org/matter/dynamic-profile/view/1867964","18-1867964")</f>
        <v>0</v>
      </c>
      <c r="B2009" t="s">
        <v>14</v>
      </c>
      <c r="C2009" t="s">
        <v>26</v>
      </c>
      <c r="D2009" t="s">
        <v>1384</v>
      </c>
      <c r="E2009" t="s">
        <v>2374</v>
      </c>
      <c r="F2009" t="s">
        <v>2438</v>
      </c>
      <c r="I2009" t="s">
        <v>2446</v>
      </c>
      <c r="J2009" t="s">
        <v>2452</v>
      </c>
      <c r="K2009" t="s">
        <v>2572</v>
      </c>
      <c r="M2009" t="s">
        <v>2616</v>
      </c>
    </row>
    <row r="2010" spans="1:13">
      <c r="A2010" s="1">
        <f>HYPERLINK("https://lsnyc.legalserver.org/matter/dynamic-profile/view/1867993","18-1867993")</f>
        <v>0</v>
      </c>
      <c r="B2010" t="s">
        <v>15</v>
      </c>
      <c r="C2010" t="s">
        <v>49</v>
      </c>
      <c r="D2010" t="s">
        <v>1595</v>
      </c>
      <c r="E2010" t="s">
        <v>2390</v>
      </c>
      <c r="F2010" t="s">
        <v>2437</v>
      </c>
      <c r="I2010" t="s">
        <v>2446</v>
      </c>
      <c r="J2010" t="s">
        <v>2448</v>
      </c>
      <c r="K2010" t="s">
        <v>2569</v>
      </c>
      <c r="M2010" t="s">
        <v>2619</v>
      </c>
    </row>
    <row r="2011" spans="1:13">
      <c r="A2011" s="1">
        <f>HYPERLINK("https://lsnyc.legalserver.org/matter/dynamic-profile/view/1867866","18-1867866")</f>
        <v>0</v>
      </c>
      <c r="B2011" t="s">
        <v>18</v>
      </c>
      <c r="C2011" t="s">
        <v>34</v>
      </c>
      <c r="D2011" t="s">
        <v>1596</v>
      </c>
      <c r="E2011" t="s">
        <v>2381</v>
      </c>
      <c r="F2011" t="s">
        <v>2440</v>
      </c>
      <c r="I2011" t="s">
        <v>2446</v>
      </c>
      <c r="J2011" t="s">
        <v>2447</v>
      </c>
      <c r="K2011" t="s">
        <v>2569</v>
      </c>
      <c r="L2011" t="s">
        <v>2600</v>
      </c>
      <c r="M2011" t="s">
        <v>2631</v>
      </c>
    </row>
    <row r="2012" spans="1:13">
      <c r="A2012" s="1">
        <f>HYPERLINK("https://lsnyc.legalserver.org/matter/dynamic-profile/view/1867823","18-1867823")</f>
        <v>0</v>
      </c>
      <c r="B2012" t="s">
        <v>16</v>
      </c>
      <c r="C2012" t="s">
        <v>23</v>
      </c>
      <c r="D2012" t="s">
        <v>1597</v>
      </c>
      <c r="E2012" t="s">
        <v>2390</v>
      </c>
      <c r="F2012" t="s">
        <v>2439</v>
      </c>
      <c r="I2012" t="s">
        <v>2446</v>
      </c>
      <c r="J2012" t="s">
        <v>2455</v>
      </c>
      <c r="K2012" t="s">
        <v>2569</v>
      </c>
      <c r="L2012" t="s">
        <v>2601</v>
      </c>
      <c r="M2012" t="s">
        <v>2631</v>
      </c>
    </row>
    <row r="2013" spans="1:13">
      <c r="A2013" s="1">
        <f>HYPERLINK("https://lsnyc.legalserver.org/matter/dynamic-profile/view/1867875","18-1867875")</f>
        <v>0</v>
      </c>
      <c r="B2013" t="s">
        <v>16</v>
      </c>
      <c r="C2013" t="s">
        <v>23</v>
      </c>
      <c r="D2013" t="s">
        <v>1544</v>
      </c>
      <c r="E2013" t="s">
        <v>2393</v>
      </c>
      <c r="F2013" t="s">
        <v>2437</v>
      </c>
      <c r="I2013" t="s">
        <v>2446</v>
      </c>
      <c r="J2013" t="s">
        <v>2448</v>
      </c>
      <c r="M2013" t="s">
        <v>2626</v>
      </c>
    </row>
    <row r="2014" spans="1:13">
      <c r="A2014" s="1">
        <f>HYPERLINK("https://lsnyc.legalserver.org/matter/dynamic-profile/view/1867918","18-1867918")</f>
        <v>0</v>
      </c>
      <c r="B2014" t="s">
        <v>16</v>
      </c>
      <c r="C2014" t="s">
        <v>23</v>
      </c>
      <c r="D2014" t="s">
        <v>1598</v>
      </c>
      <c r="E2014" t="s">
        <v>2380</v>
      </c>
      <c r="F2014" t="s">
        <v>2437</v>
      </c>
      <c r="I2014" t="s">
        <v>2446</v>
      </c>
      <c r="J2014" t="s">
        <v>2457</v>
      </c>
      <c r="M2014" t="s">
        <v>2621</v>
      </c>
    </row>
    <row r="2015" spans="1:13">
      <c r="A2015" s="1">
        <f>HYPERLINK("https://lsnyc.legalserver.org/matter/dynamic-profile/view/1867930","18-1867930")</f>
        <v>0</v>
      </c>
      <c r="B2015" t="s">
        <v>16</v>
      </c>
      <c r="C2015" t="s">
        <v>23</v>
      </c>
      <c r="D2015" t="s">
        <v>1599</v>
      </c>
      <c r="E2015" t="s">
        <v>2380</v>
      </c>
      <c r="F2015" t="s">
        <v>2437</v>
      </c>
      <c r="I2015" t="s">
        <v>2446</v>
      </c>
      <c r="J2015" t="s">
        <v>2457</v>
      </c>
      <c r="M2015" t="s">
        <v>2621</v>
      </c>
    </row>
    <row r="2016" spans="1:13">
      <c r="A2016" s="1">
        <f>HYPERLINK("https://lsnyc.legalserver.org/matter/dynamic-profile/view/1865036","18-1865036")</f>
        <v>0</v>
      </c>
      <c r="B2016" t="s">
        <v>17</v>
      </c>
      <c r="C2016" t="s">
        <v>36</v>
      </c>
      <c r="D2016" t="s">
        <v>1600</v>
      </c>
      <c r="E2016" t="s">
        <v>2385</v>
      </c>
      <c r="F2016" t="s">
        <v>2438</v>
      </c>
      <c r="I2016" t="s">
        <v>2446</v>
      </c>
      <c r="J2016" t="s">
        <v>2471</v>
      </c>
      <c r="K2016" t="s">
        <v>2572</v>
      </c>
      <c r="M2016" t="s">
        <v>2616</v>
      </c>
    </row>
    <row r="2017" spans="1:13">
      <c r="A2017" s="1">
        <f>HYPERLINK("https://lsnyc.legalserver.org/matter/dynamic-profile/view/1867716","18-1867716")</f>
        <v>0</v>
      </c>
      <c r="B2017" t="s">
        <v>18</v>
      </c>
      <c r="C2017" t="s">
        <v>34</v>
      </c>
      <c r="D2017" t="s">
        <v>1601</v>
      </c>
      <c r="E2017" t="s">
        <v>2394</v>
      </c>
      <c r="F2017" t="s">
        <v>2437</v>
      </c>
      <c r="I2017" t="s">
        <v>2446</v>
      </c>
      <c r="J2017" t="s">
        <v>2457</v>
      </c>
      <c r="K2017" t="s">
        <v>2569</v>
      </c>
      <c r="L2017" t="s">
        <v>2600</v>
      </c>
      <c r="M2017" t="s">
        <v>2627</v>
      </c>
    </row>
    <row r="2018" spans="1:13">
      <c r="A2018" s="1">
        <f>HYPERLINK("https://lsnyc.legalserver.org/matter/dynamic-profile/view/1867772","18-1867772")</f>
        <v>0</v>
      </c>
      <c r="B2018" t="s">
        <v>16</v>
      </c>
      <c r="C2018" t="s">
        <v>23</v>
      </c>
      <c r="D2018" t="s">
        <v>798</v>
      </c>
      <c r="E2018" t="s">
        <v>2390</v>
      </c>
      <c r="F2018" t="s">
        <v>2437</v>
      </c>
      <c r="I2018" t="s">
        <v>2446</v>
      </c>
      <c r="J2018" t="s">
        <v>2457</v>
      </c>
      <c r="K2018" t="s">
        <v>2569</v>
      </c>
      <c r="M2018" t="s">
        <v>2619</v>
      </c>
    </row>
    <row r="2019" spans="1:13">
      <c r="A2019" s="1">
        <f>HYPERLINK("https://lsnyc.legalserver.org/matter/dynamic-profile/view/1867601","18-1867601")</f>
        <v>0</v>
      </c>
      <c r="B2019" t="s">
        <v>18</v>
      </c>
      <c r="C2019" t="s">
        <v>34</v>
      </c>
      <c r="D2019" t="s">
        <v>1602</v>
      </c>
      <c r="E2019" t="s">
        <v>2381</v>
      </c>
      <c r="F2019" t="s">
        <v>2437</v>
      </c>
      <c r="I2019" t="s">
        <v>2446</v>
      </c>
      <c r="J2019" t="s">
        <v>2457</v>
      </c>
      <c r="K2019" t="s">
        <v>2572</v>
      </c>
      <c r="L2019" t="s">
        <v>2603</v>
      </c>
      <c r="M2019" t="s">
        <v>2622</v>
      </c>
    </row>
    <row r="2020" spans="1:13">
      <c r="A2020" s="1">
        <f>HYPERLINK("https://lsnyc.legalserver.org/matter/dynamic-profile/view/1867678","18-1867678")</f>
        <v>0</v>
      </c>
      <c r="B2020" t="s">
        <v>16</v>
      </c>
      <c r="C2020" t="s">
        <v>23</v>
      </c>
      <c r="D2020" t="s">
        <v>1603</v>
      </c>
      <c r="E2020" t="s">
        <v>2375</v>
      </c>
      <c r="F2020" t="s">
        <v>2437</v>
      </c>
      <c r="I2020" t="s">
        <v>2446</v>
      </c>
      <c r="J2020" t="s">
        <v>2549</v>
      </c>
      <c r="K2020" t="s">
        <v>2572</v>
      </c>
      <c r="L2020" t="s">
        <v>2604</v>
      </c>
      <c r="M2020" t="s">
        <v>2617</v>
      </c>
    </row>
    <row r="2021" spans="1:13">
      <c r="A2021" s="1">
        <f>HYPERLINK("https://lsnyc.legalserver.org/matter/dynamic-profile/view/1867546","18-1867546")</f>
        <v>0</v>
      </c>
      <c r="B2021" t="s">
        <v>14</v>
      </c>
      <c r="C2021" t="s">
        <v>33</v>
      </c>
      <c r="D2021" t="s">
        <v>1604</v>
      </c>
      <c r="E2021" t="s">
        <v>2376</v>
      </c>
      <c r="F2021" t="s">
        <v>2437</v>
      </c>
      <c r="I2021" t="s">
        <v>2446</v>
      </c>
      <c r="J2021" t="s">
        <v>2452</v>
      </c>
      <c r="K2021" t="s">
        <v>2572</v>
      </c>
      <c r="M2021" t="s">
        <v>2618</v>
      </c>
    </row>
    <row r="2022" spans="1:13">
      <c r="A2022" s="1">
        <f>HYPERLINK("https://lsnyc.legalserver.org/matter/dynamic-profile/view/1867666","18-1867666")</f>
        <v>0</v>
      </c>
      <c r="B2022" t="s">
        <v>16</v>
      </c>
      <c r="C2022" t="s">
        <v>23</v>
      </c>
      <c r="D2022" t="s">
        <v>1605</v>
      </c>
      <c r="E2022" t="s">
        <v>2390</v>
      </c>
      <c r="F2022" t="s">
        <v>2437</v>
      </c>
      <c r="I2022" t="s">
        <v>2446</v>
      </c>
      <c r="J2022" t="s">
        <v>2450</v>
      </c>
      <c r="K2022" t="s">
        <v>2569</v>
      </c>
      <c r="M2022" t="s">
        <v>2626</v>
      </c>
    </row>
    <row r="2023" spans="1:13">
      <c r="A2023" s="1">
        <f>HYPERLINK("https://lsnyc.legalserver.org/matter/dynamic-profile/view/1867674","18-1867674")</f>
        <v>0</v>
      </c>
      <c r="B2023" t="s">
        <v>16</v>
      </c>
      <c r="C2023" t="s">
        <v>23</v>
      </c>
      <c r="D2023" t="s">
        <v>1606</v>
      </c>
      <c r="E2023" t="s">
        <v>2390</v>
      </c>
      <c r="F2023" t="s">
        <v>2437</v>
      </c>
      <c r="I2023" t="s">
        <v>2446</v>
      </c>
      <c r="J2023" t="s">
        <v>2448</v>
      </c>
      <c r="K2023" t="s">
        <v>2569</v>
      </c>
      <c r="M2023" t="s">
        <v>2619</v>
      </c>
    </row>
    <row r="2024" spans="1:13">
      <c r="A2024" s="1">
        <f>HYPERLINK("https://lsnyc.legalserver.org/matter/dynamic-profile/view/1867707","18-1867707")</f>
        <v>0</v>
      </c>
      <c r="B2024" t="s">
        <v>16</v>
      </c>
      <c r="C2024" t="s">
        <v>23</v>
      </c>
      <c r="D2024" t="s">
        <v>1607</v>
      </c>
      <c r="E2024" t="s">
        <v>2383</v>
      </c>
      <c r="F2024" t="s">
        <v>2437</v>
      </c>
      <c r="I2024" t="s">
        <v>2446</v>
      </c>
      <c r="J2024" t="s">
        <v>2455</v>
      </c>
      <c r="M2024" t="s">
        <v>2624</v>
      </c>
    </row>
    <row r="2025" spans="1:13">
      <c r="A2025" s="1">
        <f>HYPERLINK("https://lsnyc.legalserver.org/matter/dynamic-profile/view/1867709","18-1867709")</f>
        <v>0</v>
      </c>
      <c r="B2025" t="s">
        <v>16</v>
      </c>
      <c r="C2025" t="s">
        <v>23</v>
      </c>
      <c r="D2025" t="s">
        <v>1608</v>
      </c>
      <c r="E2025" t="s">
        <v>2383</v>
      </c>
      <c r="F2025" t="s">
        <v>2437</v>
      </c>
      <c r="I2025" t="s">
        <v>2446</v>
      </c>
      <c r="J2025" t="s">
        <v>2497</v>
      </c>
      <c r="K2025" t="s">
        <v>2585</v>
      </c>
      <c r="M2025" t="s">
        <v>2624</v>
      </c>
    </row>
    <row r="2026" spans="1:13">
      <c r="A2026" s="1">
        <f>HYPERLINK("https://lsnyc.legalserver.org/matter/dynamic-profile/view/1867521","18-1867521")</f>
        <v>0</v>
      </c>
      <c r="B2026" t="s">
        <v>18</v>
      </c>
      <c r="C2026" t="s">
        <v>35</v>
      </c>
      <c r="D2026" t="s">
        <v>1609</v>
      </c>
      <c r="E2026" t="s">
        <v>2371</v>
      </c>
      <c r="F2026" t="s">
        <v>2440</v>
      </c>
      <c r="I2026" t="s">
        <v>2446</v>
      </c>
      <c r="J2026" t="s">
        <v>2534</v>
      </c>
      <c r="K2026" t="s">
        <v>2572</v>
      </c>
      <c r="L2026" t="s">
        <v>2601</v>
      </c>
      <c r="M2026" t="s">
        <v>2636</v>
      </c>
    </row>
    <row r="2027" spans="1:13">
      <c r="A2027" s="1">
        <f>HYPERLINK("https://lsnyc.legalserver.org/matter/dynamic-profile/view/1867477","18-1867477")</f>
        <v>0</v>
      </c>
      <c r="B2027" t="s">
        <v>16</v>
      </c>
      <c r="C2027" t="s">
        <v>23</v>
      </c>
      <c r="D2027" t="s">
        <v>1610</v>
      </c>
      <c r="E2027" t="s">
        <v>2413</v>
      </c>
      <c r="F2027" t="s">
        <v>2437</v>
      </c>
      <c r="I2027" t="s">
        <v>2446</v>
      </c>
      <c r="J2027" t="s">
        <v>2452</v>
      </c>
      <c r="M2027" t="s">
        <v>2629</v>
      </c>
    </row>
    <row r="2028" spans="1:13">
      <c r="A2028" s="1">
        <f>HYPERLINK("https://lsnyc.legalserver.org/matter/dynamic-profile/view/1867483","18-1867483")</f>
        <v>0</v>
      </c>
      <c r="B2028" t="s">
        <v>16</v>
      </c>
      <c r="C2028" t="s">
        <v>23</v>
      </c>
      <c r="D2028" t="s">
        <v>1611</v>
      </c>
      <c r="E2028" t="s">
        <v>2413</v>
      </c>
      <c r="F2028" t="s">
        <v>2437</v>
      </c>
      <c r="I2028" t="s">
        <v>2446</v>
      </c>
      <c r="J2028" t="s">
        <v>2452</v>
      </c>
      <c r="M2028" t="s">
        <v>2629</v>
      </c>
    </row>
    <row r="2029" spans="1:13">
      <c r="A2029" s="1">
        <f>HYPERLINK("https://lsnyc.legalserver.org/matter/dynamic-profile/view/1867486","18-1867486")</f>
        <v>0</v>
      </c>
      <c r="B2029" t="s">
        <v>16</v>
      </c>
      <c r="C2029" t="s">
        <v>23</v>
      </c>
      <c r="D2029" t="s">
        <v>1612</v>
      </c>
      <c r="E2029" t="s">
        <v>2413</v>
      </c>
      <c r="F2029" t="s">
        <v>2437</v>
      </c>
      <c r="I2029" t="s">
        <v>2446</v>
      </c>
      <c r="J2029" t="s">
        <v>2452</v>
      </c>
      <c r="M2029" t="s">
        <v>2629</v>
      </c>
    </row>
    <row r="2030" spans="1:13">
      <c r="A2030" s="1">
        <f>HYPERLINK("https://lsnyc.legalserver.org/matter/dynamic-profile/view/1867493","18-1867493")</f>
        <v>0</v>
      </c>
      <c r="B2030" t="s">
        <v>16</v>
      </c>
      <c r="C2030" t="s">
        <v>23</v>
      </c>
      <c r="D2030" t="s">
        <v>1572</v>
      </c>
      <c r="E2030" t="s">
        <v>2406</v>
      </c>
      <c r="F2030" t="s">
        <v>2437</v>
      </c>
      <c r="I2030" t="s">
        <v>2446</v>
      </c>
      <c r="J2030" t="s">
        <v>2452</v>
      </c>
      <c r="M2030" t="s">
        <v>2642</v>
      </c>
    </row>
    <row r="2031" spans="1:13">
      <c r="A2031" s="1">
        <f>HYPERLINK("https://lsnyc.legalserver.org/matter/dynamic-profile/view/1867496","18-1867496")</f>
        <v>0</v>
      </c>
      <c r="B2031" t="s">
        <v>16</v>
      </c>
      <c r="C2031" t="s">
        <v>23</v>
      </c>
      <c r="D2031" t="s">
        <v>1613</v>
      </c>
      <c r="E2031" t="s">
        <v>2406</v>
      </c>
      <c r="F2031" t="s">
        <v>2437</v>
      </c>
      <c r="I2031" t="s">
        <v>2446</v>
      </c>
      <c r="J2031" t="s">
        <v>2457</v>
      </c>
      <c r="K2031" t="s">
        <v>2569</v>
      </c>
      <c r="M2031" t="s">
        <v>2642</v>
      </c>
    </row>
    <row r="2032" spans="1:13">
      <c r="A2032" s="1">
        <f>HYPERLINK("https://lsnyc.legalserver.org/matter/dynamic-profile/view/1867502","18-1867502")</f>
        <v>0</v>
      </c>
      <c r="B2032" t="s">
        <v>16</v>
      </c>
      <c r="C2032" t="s">
        <v>23</v>
      </c>
      <c r="D2032" t="s">
        <v>1614</v>
      </c>
      <c r="E2032" t="s">
        <v>2380</v>
      </c>
      <c r="F2032" t="s">
        <v>2437</v>
      </c>
      <c r="I2032" t="s">
        <v>2446</v>
      </c>
      <c r="J2032" t="s">
        <v>2452</v>
      </c>
      <c r="M2032" t="s">
        <v>2621</v>
      </c>
    </row>
    <row r="2033" spans="1:14">
      <c r="A2033" s="1">
        <f>HYPERLINK("https://lsnyc.legalserver.org/matter/dynamic-profile/view/1867507","18-1867507")</f>
        <v>0</v>
      </c>
      <c r="B2033" t="s">
        <v>16</v>
      </c>
      <c r="C2033" t="s">
        <v>23</v>
      </c>
      <c r="D2033" t="s">
        <v>1610</v>
      </c>
      <c r="E2033" t="s">
        <v>2380</v>
      </c>
      <c r="F2033" t="s">
        <v>2437</v>
      </c>
      <c r="I2033" t="s">
        <v>2446</v>
      </c>
      <c r="J2033" t="s">
        <v>2452</v>
      </c>
      <c r="M2033" t="s">
        <v>2621</v>
      </c>
    </row>
    <row r="2034" spans="1:14">
      <c r="A2034" s="1">
        <f>HYPERLINK("https://lsnyc.legalserver.org/matter/dynamic-profile/view/1867518","18-1867518")</f>
        <v>0</v>
      </c>
      <c r="B2034" t="s">
        <v>16</v>
      </c>
      <c r="C2034" t="s">
        <v>23</v>
      </c>
      <c r="D2034" t="s">
        <v>1611</v>
      </c>
      <c r="E2034" t="s">
        <v>2380</v>
      </c>
      <c r="F2034" t="s">
        <v>2437</v>
      </c>
      <c r="I2034" t="s">
        <v>2446</v>
      </c>
      <c r="J2034" t="s">
        <v>2452</v>
      </c>
      <c r="M2034" t="s">
        <v>2621</v>
      </c>
    </row>
    <row r="2035" spans="1:14">
      <c r="A2035" s="1">
        <f>HYPERLINK("https://lsnyc.legalserver.org/matter/dynamic-profile/view/1867523","18-1867523")</f>
        <v>0</v>
      </c>
      <c r="B2035" t="s">
        <v>16</v>
      </c>
      <c r="C2035" t="s">
        <v>23</v>
      </c>
      <c r="D2035" t="s">
        <v>1612</v>
      </c>
      <c r="E2035" t="s">
        <v>2380</v>
      </c>
      <c r="F2035" t="s">
        <v>2437</v>
      </c>
      <c r="I2035" t="s">
        <v>2446</v>
      </c>
      <c r="J2035" t="s">
        <v>2452</v>
      </c>
      <c r="M2035" t="s">
        <v>2621</v>
      </c>
    </row>
    <row r="2036" spans="1:14">
      <c r="A2036" s="1">
        <f>HYPERLINK("https://lsnyc.legalserver.org/matter/dynamic-profile/view/1867527","18-1867527")</f>
        <v>0</v>
      </c>
      <c r="B2036" t="s">
        <v>16</v>
      </c>
      <c r="C2036" t="s">
        <v>23</v>
      </c>
      <c r="D2036" t="s">
        <v>1615</v>
      </c>
      <c r="E2036" t="s">
        <v>2390</v>
      </c>
      <c r="F2036" t="s">
        <v>2437</v>
      </c>
      <c r="G2036" t="s">
        <v>2444</v>
      </c>
      <c r="I2036" t="s">
        <v>2446</v>
      </c>
      <c r="J2036" t="s">
        <v>2474</v>
      </c>
      <c r="K2036" t="s">
        <v>2572</v>
      </c>
      <c r="M2036" t="s">
        <v>2626</v>
      </c>
    </row>
    <row r="2037" spans="1:14">
      <c r="A2037" s="1">
        <f>HYPERLINK("https://lsnyc.legalserver.org/matter/dynamic-profile/view/1867538","18-1867538")</f>
        <v>0</v>
      </c>
      <c r="B2037" t="s">
        <v>19</v>
      </c>
      <c r="C2037" t="s">
        <v>38</v>
      </c>
      <c r="D2037" t="s">
        <v>921</v>
      </c>
      <c r="E2037" t="s">
        <v>2370</v>
      </c>
      <c r="F2037" t="s">
        <v>2437</v>
      </c>
      <c r="I2037" t="s">
        <v>2446</v>
      </c>
      <c r="J2037" t="s">
        <v>2448</v>
      </c>
      <c r="L2037" t="s">
        <v>2600</v>
      </c>
      <c r="M2037" t="s">
        <v>2638</v>
      </c>
      <c r="N2037" t="s">
        <v>2648</v>
      </c>
    </row>
    <row r="2038" spans="1:14">
      <c r="A2038" s="1">
        <f>HYPERLINK("https://lsnyc.legalserver.org/matter/dynamic-profile/view/1867547","18-1867547")</f>
        <v>0</v>
      </c>
      <c r="B2038" t="s">
        <v>14</v>
      </c>
      <c r="C2038" t="s">
        <v>33</v>
      </c>
      <c r="D2038" t="s">
        <v>1604</v>
      </c>
      <c r="E2038" t="s">
        <v>2383</v>
      </c>
      <c r="F2038" t="s">
        <v>2437</v>
      </c>
      <c r="I2038" t="s">
        <v>2446</v>
      </c>
      <c r="J2038" t="s">
        <v>2452</v>
      </c>
      <c r="K2038" t="s">
        <v>2572</v>
      </c>
      <c r="M2038" t="s">
        <v>2624</v>
      </c>
    </row>
    <row r="2039" spans="1:14">
      <c r="A2039" s="1">
        <f>HYPERLINK("https://lsnyc.legalserver.org/matter/dynamic-profile/view/1867553","18-1867553")</f>
        <v>0</v>
      </c>
      <c r="B2039" t="s">
        <v>16</v>
      </c>
      <c r="C2039" t="s">
        <v>23</v>
      </c>
      <c r="D2039" t="s">
        <v>1616</v>
      </c>
      <c r="E2039" t="s">
        <v>2413</v>
      </c>
      <c r="F2039" t="s">
        <v>2437</v>
      </c>
      <c r="I2039" t="s">
        <v>2446</v>
      </c>
      <c r="J2039" t="s">
        <v>2457</v>
      </c>
      <c r="M2039" t="s">
        <v>2626</v>
      </c>
    </row>
    <row r="2040" spans="1:14">
      <c r="A2040" s="1">
        <f>HYPERLINK("https://lsnyc.legalserver.org/matter/dynamic-profile/view/1867562","18-1867562")</f>
        <v>0</v>
      </c>
      <c r="B2040" t="s">
        <v>16</v>
      </c>
      <c r="C2040" t="s">
        <v>23</v>
      </c>
      <c r="D2040" t="s">
        <v>1598</v>
      </c>
      <c r="E2040" t="s">
        <v>2413</v>
      </c>
      <c r="F2040" t="s">
        <v>2437</v>
      </c>
      <c r="I2040" t="s">
        <v>2446</v>
      </c>
      <c r="J2040" t="s">
        <v>2457</v>
      </c>
      <c r="M2040" t="s">
        <v>2629</v>
      </c>
    </row>
    <row r="2041" spans="1:14">
      <c r="A2041" s="1">
        <f>HYPERLINK("https://lsnyc.legalserver.org/matter/dynamic-profile/view/1867568","18-1867568")</f>
        <v>0</v>
      </c>
      <c r="B2041" t="s">
        <v>16</v>
      </c>
      <c r="C2041" t="s">
        <v>23</v>
      </c>
      <c r="D2041" t="s">
        <v>1599</v>
      </c>
      <c r="E2041" t="s">
        <v>2413</v>
      </c>
      <c r="F2041" t="s">
        <v>2437</v>
      </c>
      <c r="I2041" t="s">
        <v>2446</v>
      </c>
      <c r="J2041" t="s">
        <v>2457</v>
      </c>
      <c r="M2041" t="s">
        <v>2629</v>
      </c>
    </row>
    <row r="2042" spans="1:14">
      <c r="A2042" s="1">
        <f>HYPERLINK("https://lsnyc.legalserver.org/matter/dynamic-profile/view/1867428","18-1867428")</f>
        <v>0</v>
      </c>
      <c r="B2042" t="s">
        <v>18</v>
      </c>
      <c r="C2042" t="s">
        <v>27</v>
      </c>
      <c r="D2042" t="s">
        <v>1617</v>
      </c>
      <c r="E2042" t="s">
        <v>2370</v>
      </c>
      <c r="F2042" t="s">
        <v>2439</v>
      </c>
      <c r="I2042" t="s">
        <v>2446</v>
      </c>
      <c r="J2042" t="s">
        <v>2461</v>
      </c>
      <c r="K2042" t="s">
        <v>2592</v>
      </c>
      <c r="L2042" t="s">
        <v>2602</v>
      </c>
      <c r="M2042" t="s">
        <v>2631</v>
      </c>
    </row>
    <row r="2043" spans="1:14">
      <c r="A2043" s="1">
        <f>HYPERLINK("https://lsnyc.legalserver.org/matter/dynamic-profile/view/1867465","18-1867465")</f>
        <v>0</v>
      </c>
      <c r="B2043" t="s">
        <v>14</v>
      </c>
      <c r="C2043" t="s">
        <v>43</v>
      </c>
      <c r="D2043" t="s">
        <v>1618</v>
      </c>
      <c r="E2043" t="s">
        <v>2383</v>
      </c>
      <c r="F2043" t="s">
        <v>2439</v>
      </c>
      <c r="K2043" t="s">
        <v>2569</v>
      </c>
      <c r="L2043" t="s">
        <v>2601</v>
      </c>
      <c r="M2043" t="s">
        <v>2631</v>
      </c>
    </row>
    <row r="2044" spans="1:14">
      <c r="A2044" s="1">
        <f>HYPERLINK("https://lsnyc.legalserver.org/matter/dynamic-profile/view/1867450","18-1867450")</f>
        <v>0</v>
      </c>
      <c r="B2044" t="s">
        <v>14</v>
      </c>
      <c r="C2044" t="s">
        <v>44</v>
      </c>
      <c r="D2044" t="s">
        <v>1619</v>
      </c>
      <c r="E2044" t="s">
        <v>2381</v>
      </c>
      <c r="F2044" t="s">
        <v>2442</v>
      </c>
      <c r="I2044" t="s">
        <v>2446</v>
      </c>
      <c r="J2044" t="s">
        <v>2485</v>
      </c>
      <c r="K2044" t="s">
        <v>2572</v>
      </c>
      <c r="L2044" t="s">
        <v>2603</v>
      </c>
      <c r="M2044" t="s">
        <v>2622</v>
      </c>
    </row>
    <row r="2045" spans="1:14">
      <c r="A2045" s="1">
        <f>HYPERLINK("https://lsnyc.legalserver.org/matter/dynamic-profile/view/1867119","18-1867119")</f>
        <v>0</v>
      </c>
      <c r="B2045" t="s">
        <v>17</v>
      </c>
      <c r="C2045" t="s">
        <v>42</v>
      </c>
      <c r="D2045" t="s">
        <v>1620</v>
      </c>
      <c r="E2045" t="s">
        <v>2391</v>
      </c>
      <c r="F2045" t="s">
        <v>2437</v>
      </c>
      <c r="I2045" t="s">
        <v>2446</v>
      </c>
      <c r="J2045" t="s">
        <v>2450</v>
      </c>
      <c r="K2045" t="s">
        <v>2569</v>
      </c>
      <c r="L2045" t="s">
        <v>2600</v>
      </c>
      <c r="M2045" t="s">
        <v>2615</v>
      </c>
    </row>
    <row r="2046" spans="1:14">
      <c r="A2046" s="1">
        <f>HYPERLINK("https://lsnyc.legalserver.org/matter/dynamic-profile/view/1867135","18-1867135")</f>
        <v>0</v>
      </c>
      <c r="B2046" t="s">
        <v>17</v>
      </c>
      <c r="C2046" t="s">
        <v>42</v>
      </c>
      <c r="D2046" t="s">
        <v>1621</v>
      </c>
      <c r="E2046" t="s">
        <v>2391</v>
      </c>
      <c r="F2046" t="s">
        <v>2437</v>
      </c>
      <c r="I2046" t="s">
        <v>2446</v>
      </c>
      <c r="J2046" t="s">
        <v>2450</v>
      </c>
      <c r="K2046" t="s">
        <v>2569</v>
      </c>
      <c r="L2046" t="s">
        <v>2600</v>
      </c>
      <c r="M2046" t="s">
        <v>2615</v>
      </c>
    </row>
    <row r="2047" spans="1:14">
      <c r="A2047" s="1">
        <f>HYPERLINK("https://lsnyc.legalserver.org/matter/dynamic-profile/view/1867139","18-1867139")</f>
        <v>0</v>
      </c>
      <c r="B2047" t="s">
        <v>17</v>
      </c>
      <c r="C2047" t="s">
        <v>42</v>
      </c>
      <c r="D2047" t="s">
        <v>1622</v>
      </c>
      <c r="E2047" t="s">
        <v>2391</v>
      </c>
      <c r="F2047" t="s">
        <v>2437</v>
      </c>
      <c r="I2047" t="s">
        <v>2446</v>
      </c>
      <c r="J2047" t="s">
        <v>2450</v>
      </c>
      <c r="K2047" t="s">
        <v>2569</v>
      </c>
      <c r="L2047" t="s">
        <v>2600</v>
      </c>
      <c r="M2047" t="s">
        <v>2615</v>
      </c>
    </row>
    <row r="2048" spans="1:14">
      <c r="A2048" s="1">
        <f>HYPERLINK("https://lsnyc.legalserver.org/matter/dynamic-profile/view/1867360","18-1867360")</f>
        <v>0</v>
      </c>
      <c r="B2048" t="s">
        <v>16</v>
      </c>
      <c r="C2048" t="s">
        <v>23</v>
      </c>
      <c r="D2048" t="s">
        <v>1623</v>
      </c>
      <c r="E2048" t="s">
        <v>2390</v>
      </c>
      <c r="F2048" t="s">
        <v>2437</v>
      </c>
      <c r="I2048" t="s">
        <v>2446</v>
      </c>
      <c r="J2048" t="s">
        <v>2448</v>
      </c>
      <c r="K2048" t="s">
        <v>2569</v>
      </c>
      <c r="M2048" t="s">
        <v>2626</v>
      </c>
    </row>
    <row r="2049" spans="1:14">
      <c r="A2049" s="1">
        <f>HYPERLINK("https://lsnyc.legalserver.org/matter/dynamic-profile/view/1867373","18-1867373")</f>
        <v>0</v>
      </c>
      <c r="B2049" t="s">
        <v>16</v>
      </c>
      <c r="C2049" t="s">
        <v>23</v>
      </c>
      <c r="D2049" t="s">
        <v>610</v>
      </c>
      <c r="E2049" t="s">
        <v>2387</v>
      </c>
      <c r="F2049" t="s">
        <v>2437</v>
      </c>
      <c r="I2049" t="s">
        <v>2446</v>
      </c>
      <c r="J2049" t="s">
        <v>2465</v>
      </c>
      <c r="K2049" t="s">
        <v>2569</v>
      </c>
      <c r="M2049" t="s">
        <v>2629</v>
      </c>
    </row>
    <row r="2050" spans="1:14">
      <c r="A2050" s="1">
        <f>HYPERLINK("https://lsnyc.legalserver.org/matter/dynamic-profile/view/1867405","18-1867405")</f>
        <v>0</v>
      </c>
      <c r="B2050" t="s">
        <v>15</v>
      </c>
      <c r="C2050" t="s">
        <v>49</v>
      </c>
      <c r="D2050" t="s">
        <v>1624</v>
      </c>
      <c r="E2050" t="s">
        <v>2411</v>
      </c>
      <c r="F2050" t="s">
        <v>2437</v>
      </c>
      <c r="I2050" t="s">
        <v>2446</v>
      </c>
      <c r="J2050" t="s">
        <v>2452</v>
      </c>
      <c r="K2050" t="s">
        <v>2572</v>
      </c>
      <c r="M2050" t="s">
        <v>2627</v>
      </c>
    </row>
    <row r="2051" spans="1:14">
      <c r="A2051" s="1">
        <f>HYPERLINK("https://lsnyc.legalserver.org/matter/dynamic-profile/view/1867446","18-1867446")</f>
        <v>0</v>
      </c>
      <c r="B2051" t="s">
        <v>16</v>
      </c>
      <c r="C2051" t="s">
        <v>23</v>
      </c>
      <c r="D2051" t="s">
        <v>1625</v>
      </c>
      <c r="E2051" t="s">
        <v>2406</v>
      </c>
      <c r="F2051" t="s">
        <v>2437</v>
      </c>
      <c r="I2051" t="s">
        <v>2446</v>
      </c>
      <c r="J2051" t="s">
        <v>2457</v>
      </c>
      <c r="K2051" t="s">
        <v>2569</v>
      </c>
      <c r="M2051" t="s">
        <v>2642</v>
      </c>
    </row>
    <row r="2052" spans="1:14">
      <c r="A2052" s="1">
        <f>HYPERLINK("https://lsnyc.legalserver.org/matter/dynamic-profile/view/1867455","18-1867455")</f>
        <v>0</v>
      </c>
      <c r="B2052" t="s">
        <v>16</v>
      </c>
      <c r="C2052" t="s">
        <v>23</v>
      </c>
      <c r="D2052" t="s">
        <v>1614</v>
      </c>
      <c r="E2052" t="s">
        <v>2413</v>
      </c>
      <c r="F2052" t="s">
        <v>2437</v>
      </c>
      <c r="I2052" t="s">
        <v>2446</v>
      </c>
      <c r="J2052" t="s">
        <v>2452</v>
      </c>
      <c r="M2052" t="s">
        <v>2629</v>
      </c>
    </row>
    <row r="2053" spans="1:14">
      <c r="A2053" s="1">
        <f>HYPERLINK("https://lsnyc.legalserver.org/matter/dynamic-profile/view/1867240","18-1867240")</f>
        <v>0</v>
      </c>
      <c r="B2053" t="s">
        <v>16</v>
      </c>
      <c r="C2053" t="s">
        <v>23</v>
      </c>
      <c r="D2053" t="s">
        <v>1626</v>
      </c>
      <c r="E2053" t="s">
        <v>2390</v>
      </c>
      <c r="F2053" t="s">
        <v>2439</v>
      </c>
      <c r="I2053" t="s">
        <v>2446</v>
      </c>
      <c r="J2053" t="s">
        <v>2448</v>
      </c>
      <c r="K2053" t="s">
        <v>2572</v>
      </c>
      <c r="L2053" t="s">
        <v>2601</v>
      </c>
      <c r="M2053" t="s">
        <v>2631</v>
      </c>
    </row>
    <row r="2054" spans="1:14">
      <c r="A2054" s="1">
        <f>HYPERLINK("https://lsnyc.legalserver.org/matter/dynamic-profile/view/1867342","18-1867342")</f>
        <v>0</v>
      </c>
      <c r="B2054" t="s">
        <v>15</v>
      </c>
      <c r="C2054" t="s">
        <v>37</v>
      </c>
      <c r="D2054" t="s">
        <v>1627</v>
      </c>
      <c r="E2054" t="s">
        <v>2386</v>
      </c>
      <c r="F2054" t="s">
        <v>2439</v>
      </c>
      <c r="I2054" t="s">
        <v>2446</v>
      </c>
      <c r="J2054" t="s">
        <v>2477</v>
      </c>
      <c r="K2054" t="s">
        <v>2569</v>
      </c>
      <c r="L2054" t="s">
        <v>2601</v>
      </c>
      <c r="M2054" t="s">
        <v>2631</v>
      </c>
    </row>
    <row r="2055" spans="1:14">
      <c r="A2055" s="1">
        <f>HYPERLINK("https://lsnyc.legalserver.org/matter/dynamic-profile/view/1867279","18-1867279")</f>
        <v>0</v>
      </c>
      <c r="B2055" t="s">
        <v>14</v>
      </c>
      <c r="C2055" t="s">
        <v>33</v>
      </c>
      <c r="D2055" t="s">
        <v>749</v>
      </c>
      <c r="E2055" t="s">
        <v>2385</v>
      </c>
      <c r="F2055" t="s">
        <v>2438</v>
      </c>
      <c r="I2055" t="s">
        <v>2446</v>
      </c>
      <c r="J2055" t="s">
        <v>2450</v>
      </c>
      <c r="L2055" t="s">
        <v>2600</v>
      </c>
      <c r="M2055" t="s">
        <v>2616</v>
      </c>
    </row>
    <row r="2056" spans="1:14">
      <c r="A2056" s="1">
        <f>HYPERLINK("https://lsnyc.legalserver.org/matter/dynamic-profile/view/1861604","18-1861604")</f>
        <v>0</v>
      </c>
      <c r="B2056" t="s">
        <v>15</v>
      </c>
      <c r="C2056" t="s">
        <v>74</v>
      </c>
      <c r="D2056" t="s">
        <v>1628</v>
      </c>
      <c r="E2056" t="s">
        <v>2390</v>
      </c>
      <c r="F2056" t="s">
        <v>2440</v>
      </c>
      <c r="J2056" t="s">
        <v>2455</v>
      </c>
      <c r="L2056" t="s">
        <v>2601</v>
      </c>
      <c r="M2056" t="s">
        <v>2631</v>
      </c>
    </row>
    <row r="2057" spans="1:14">
      <c r="A2057" s="1">
        <f>HYPERLINK("https://lsnyc.legalserver.org/matter/dynamic-profile/view/1867187","18-1867187")</f>
        <v>0</v>
      </c>
      <c r="B2057" t="s">
        <v>19</v>
      </c>
      <c r="C2057" t="s">
        <v>38</v>
      </c>
      <c r="D2057" t="s">
        <v>1629</v>
      </c>
      <c r="E2057" t="s">
        <v>2375</v>
      </c>
      <c r="J2057" t="s">
        <v>2452</v>
      </c>
      <c r="K2057" t="s">
        <v>2572</v>
      </c>
      <c r="L2057" t="s">
        <v>2601</v>
      </c>
      <c r="M2057" t="s">
        <v>2631</v>
      </c>
    </row>
    <row r="2058" spans="1:14">
      <c r="A2058" s="1">
        <f>HYPERLINK("https://lsnyc.legalserver.org/matter/dynamic-profile/view/1867181","18-1867181")</f>
        <v>0</v>
      </c>
      <c r="B2058" t="s">
        <v>19</v>
      </c>
      <c r="C2058" t="s">
        <v>38</v>
      </c>
      <c r="D2058" t="s">
        <v>1630</v>
      </c>
      <c r="E2058" t="s">
        <v>2383</v>
      </c>
      <c r="I2058" t="s">
        <v>2446</v>
      </c>
      <c r="J2058" t="s">
        <v>2455</v>
      </c>
      <c r="K2058" t="s">
        <v>2569</v>
      </c>
      <c r="L2058" t="s">
        <v>2601</v>
      </c>
      <c r="M2058" t="s">
        <v>2631</v>
      </c>
    </row>
    <row r="2059" spans="1:14">
      <c r="A2059" s="1">
        <f>HYPERLINK("https://lsnyc.legalserver.org/matter/dynamic-profile/view/1867096","18-1867096")</f>
        <v>0</v>
      </c>
      <c r="B2059" t="s">
        <v>15</v>
      </c>
      <c r="C2059" t="s">
        <v>49</v>
      </c>
      <c r="D2059" t="s">
        <v>1631</v>
      </c>
      <c r="E2059" t="s">
        <v>2408</v>
      </c>
      <c r="F2059" t="s">
        <v>2437</v>
      </c>
      <c r="J2059" t="s">
        <v>2467</v>
      </c>
      <c r="K2059" t="s">
        <v>2572</v>
      </c>
      <c r="M2059" t="s">
        <v>2619</v>
      </c>
    </row>
    <row r="2060" spans="1:14">
      <c r="A2060" s="1">
        <f>HYPERLINK("https://lsnyc.legalserver.org/matter/dynamic-profile/view/1867104","18-1867104")</f>
        <v>0</v>
      </c>
      <c r="B2060" t="s">
        <v>15</v>
      </c>
      <c r="C2060" t="s">
        <v>49</v>
      </c>
      <c r="D2060" t="s">
        <v>1632</v>
      </c>
      <c r="E2060" t="s">
        <v>2381</v>
      </c>
      <c r="F2060" t="s">
        <v>2437</v>
      </c>
      <c r="I2060" t="s">
        <v>2446</v>
      </c>
      <c r="J2060" t="s">
        <v>2449</v>
      </c>
      <c r="K2060" t="s">
        <v>2569</v>
      </c>
      <c r="M2060" t="s">
        <v>2622</v>
      </c>
    </row>
    <row r="2061" spans="1:14">
      <c r="A2061" s="1">
        <f>HYPERLINK("https://lsnyc.legalserver.org/matter/dynamic-profile/view/1867108","18-1867108")</f>
        <v>0</v>
      </c>
      <c r="B2061" t="s">
        <v>17</v>
      </c>
      <c r="C2061" t="s">
        <v>36</v>
      </c>
      <c r="D2061" t="s">
        <v>1633</v>
      </c>
      <c r="E2061" t="s">
        <v>2391</v>
      </c>
      <c r="F2061" t="s">
        <v>2437</v>
      </c>
      <c r="I2061" t="s">
        <v>2446</v>
      </c>
      <c r="J2061" t="s">
        <v>2465</v>
      </c>
      <c r="K2061" t="s">
        <v>2569</v>
      </c>
      <c r="L2061" t="s">
        <v>2600</v>
      </c>
      <c r="M2061" t="s">
        <v>2615</v>
      </c>
    </row>
    <row r="2062" spans="1:14">
      <c r="A2062" s="1">
        <f>HYPERLINK("https://lsnyc.legalserver.org/matter/dynamic-profile/view/1867133","18-1867133")</f>
        <v>0</v>
      </c>
      <c r="B2062" t="s">
        <v>15</v>
      </c>
      <c r="C2062" t="s">
        <v>49</v>
      </c>
      <c r="D2062" t="s">
        <v>1634</v>
      </c>
      <c r="E2062" t="s">
        <v>2381</v>
      </c>
      <c r="F2062" t="s">
        <v>2437</v>
      </c>
      <c r="I2062" t="s">
        <v>2446</v>
      </c>
      <c r="J2062" t="s">
        <v>2448</v>
      </c>
      <c r="M2062" t="s">
        <v>2622</v>
      </c>
    </row>
    <row r="2063" spans="1:14">
      <c r="A2063" s="1">
        <f>HYPERLINK("https://lsnyc.legalserver.org/matter/dynamic-profile/view/1867206","18-1867206")</f>
        <v>0</v>
      </c>
      <c r="B2063" t="s">
        <v>14</v>
      </c>
      <c r="C2063" t="s">
        <v>21</v>
      </c>
      <c r="D2063" t="s">
        <v>346</v>
      </c>
      <c r="E2063" t="s">
        <v>2385</v>
      </c>
      <c r="F2063" t="s">
        <v>2438</v>
      </c>
      <c r="H2063" t="s">
        <v>2445</v>
      </c>
      <c r="I2063" t="s">
        <v>2446</v>
      </c>
      <c r="J2063" t="s">
        <v>2450</v>
      </c>
      <c r="K2063" t="s">
        <v>2569</v>
      </c>
      <c r="L2063" t="s">
        <v>2600</v>
      </c>
      <c r="M2063" t="s">
        <v>2616</v>
      </c>
      <c r="N2063" t="s">
        <v>2649</v>
      </c>
    </row>
    <row r="2064" spans="1:14">
      <c r="A2064" s="1">
        <f>HYPERLINK("https://lsnyc.legalserver.org/matter/dynamic-profile/view/1867055","18-1867055")</f>
        <v>0</v>
      </c>
      <c r="B2064" t="s">
        <v>16</v>
      </c>
      <c r="C2064" t="s">
        <v>23</v>
      </c>
      <c r="D2064" t="s">
        <v>1635</v>
      </c>
      <c r="J2064" t="s">
        <v>2449</v>
      </c>
      <c r="K2064" t="s">
        <v>2569</v>
      </c>
      <c r="L2064" t="s">
        <v>2601</v>
      </c>
      <c r="M2064" t="s">
        <v>2631</v>
      </c>
    </row>
    <row r="2065" spans="1:14">
      <c r="A2065" s="1">
        <f>HYPERLINK("https://lsnyc.legalserver.org/matter/dynamic-profile/view/1867087","18-1867087")</f>
        <v>0</v>
      </c>
      <c r="B2065" t="s">
        <v>14</v>
      </c>
      <c r="C2065" t="s">
        <v>21</v>
      </c>
      <c r="D2065" t="s">
        <v>1636</v>
      </c>
      <c r="E2065" t="s">
        <v>2374</v>
      </c>
      <c r="F2065" t="s">
        <v>2439</v>
      </c>
      <c r="I2065" t="s">
        <v>2446</v>
      </c>
      <c r="J2065" t="s">
        <v>2450</v>
      </c>
      <c r="K2065" t="s">
        <v>2569</v>
      </c>
      <c r="L2065" t="s">
        <v>2602</v>
      </c>
      <c r="M2065" t="s">
        <v>2631</v>
      </c>
    </row>
    <row r="2066" spans="1:14">
      <c r="A2066" s="1">
        <f>HYPERLINK("https://lsnyc.legalserver.org/matter/dynamic-profile/view/1867050","18-1867050")</f>
        <v>0</v>
      </c>
      <c r="B2066" t="s">
        <v>19</v>
      </c>
      <c r="C2066" t="s">
        <v>47</v>
      </c>
      <c r="D2066" t="s">
        <v>737</v>
      </c>
      <c r="E2066" t="s">
        <v>2381</v>
      </c>
      <c r="F2066" t="s">
        <v>2437</v>
      </c>
      <c r="I2066" t="s">
        <v>2446</v>
      </c>
      <c r="J2066" t="s">
        <v>2516</v>
      </c>
      <c r="K2066" t="s">
        <v>2572</v>
      </c>
      <c r="L2066" t="s">
        <v>2605</v>
      </c>
      <c r="M2066" t="s">
        <v>2622</v>
      </c>
      <c r="N2066" t="s">
        <v>2648</v>
      </c>
    </row>
    <row r="2067" spans="1:14">
      <c r="A2067" s="1">
        <f>HYPERLINK("https://lsnyc.legalserver.org/matter/dynamic-profile/view/1867028","18-1867028")</f>
        <v>0</v>
      </c>
      <c r="B2067" t="s">
        <v>15</v>
      </c>
      <c r="C2067" t="s">
        <v>32</v>
      </c>
      <c r="D2067" t="s">
        <v>1637</v>
      </c>
      <c r="E2067" t="s">
        <v>2390</v>
      </c>
      <c r="F2067" t="s">
        <v>2437</v>
      </c>
      <c r="J2067" t="s">
        <v>2455</v>
      </c>
      <c r="K2067" t="s">
        <v>2569</v>
      </c>
      <c r="L2067" t="s">
        <v>2600</v>
      </c>
      <c r="M2067" t="s">
        <v>2619</v>
      </c>
      <c r="N2067" t="s">
        <v>2648</v>
      </c>
    </row>
    <row r="2068" spans="1:14">
      <c r="A2068" s="1">
        <f>HYPERLINK("https://lsnyc.legalserver.org/matter/dynamic-profile/view/1863284","18-1863284")</f>
        <v>0</v>
      </c>
      <c r="B2068" t="s">
        <v>17</v>
      </c>
      <c r="C2068" t="s">
        <v>75</v>
      </c>
      <c r="D2068" t="s">
        <v>1638</v>
      </c>
      <c r="F2068" t="s">
        <v>2439</v>
      </c>
      <c r="J2068" t="s">
        <v>2450</v>
      </c>
      <c r="K2068" t="s">
        <v>2569</v>
      </c>
      <c r="L2068" t="s">
        <v>2601</v>
      </c>
      <c r="M2068" t="s">
        <v>2631</v>
      </c>
    </row>
    <row r="2069" spans="1:14">
      <c r="A2069" s="1">
        <f>HYPERLINK("https://lsnyc.legalserver.org/matter/dynamic-profile/view/1866846","18-1866846")</f>
        <v>0</v>
      </c>
      <c r="B2069" t="s">
        <v>16</v>
      </c>
      <c r="C2069" t="s">
        <v>23</v>
      </c>
      <c r="D2069" t="s">
        <v>1639</v>
      </c>
      <c r="E2069" t="s">
        <v>2375</v>
      </c>
      <c r="F2069" t="s">
        <v>2437</v>
      </c>
      <c r="I2069" t="s">
        <v>2446</v>
      </c>
      <c r="J2069" t="s">
        <v>2454</v>
      </c>
      <c r="K2069" t="s">
        <v>2572</v>
      </c>
      <c r="L2069" t="s">
        <v>2604</v>
      </c>
      <c r="M2069" t="s">
        <v>2617</v>
      </c>
    </row>
    <row r="2070" spans="1:14">
      <c r="A2070" s="1">
        <f>HYPERLINK("https://lsnyc.legalserver.org/matter/dynamic-profile/view/1866937","18-1866937")</f>
        <v>0</v>
      </c>
      <c r="B2070" t="s">
        <v>15</v>
      </c>
      <c r="C2070" t="s">
        <v>37</v>
      </c>
      <c r="D2070" t="s">
        <v>1640</v>
      </c>
      <c r="E2070" t="s">
        <v>2376</v>
      </c>
      <c r="F2070" t="s">
        <v>2437</v>
      </c>
      <c r="I2070" t="s">
        <v>2446</v>
      </c>
      <c r="J2070" t="s">
        <v>2522</v>
      </c>
      <c r="K2070" t="s">
        <v>2578</v>
      </c>
      <c r="L2070" t="s">
        <v>2603</v>
      </c>
      <c r="M2070" t="s">
        <v>2618</v>
      </c>
    </row>
    <row r="2071" spans="1:14">
      <c r="A2071" s="1">
        <f>HYPERLINK("https://lsnyc.legalserver.org/matter/dynamic-profile/view/1866871","18-1866871")</f>
        <v>0</v>
      </c>
      <c r="B2071" t="s">
        <v>16</v>
      </c>
      <c r="C2071" t="s">
        <v>23</v>
      </c>
      <c r="D2071" t="s">
        <v>1641</v>
      </c>
      <c r="E2071" t="s">
        <v>2383</v>
      </c>
      <c r="F2071" t="s">
        <v>2437</v>
      </c>
      <c r="I2071" t="s">
        <v>2446</v>
      </c>
      <c r="J2071" t="s">
        <v>2447</v>
      </c>
      <c r="K2071" t="s">
        <v>2569</v>
      </c>
      <c r="M2071" t="s">
        <v>2624</v>
      </c>
    </row>
    <row r="2072" spans="1:14">
      <c r="A2072" s="1">
        <f>HYPERLINK("https://lsnyc.legalserver.org/matter/dynamic-profile/view/1866879","18-1866879")</f>
        <v>0</v>
      </c>
      <c r="B2072" t="s">
        <v>16</v>
      </c>
      <c r="C2072" t="s">
        <v>23</v>
      </c>
      <c r="D2072" t="s">
        <v>1100</v>
      </c>
      <c r="E2072" t="s">
        <v>2383</v>
      </c>
      <c r="F2072" t="s">
        <v>2437</v>
      </c>
      <c r="J2072" t="s">
        <v>2468</v>
      </c>
      <c r="M2072" t="s">
        <v>2624</v>
      </c>
    </row>
    <row r="2073" spans="1:14">
      <c r="A2073" s="1">
        <f>HYPERLINK("https://lsnyc.legalserver.org/matter/dynamic-profile/view/1866886","18-1866886")</f>
        <v>0</v>
      </c>
      <c r="B2073" t="s">
        <v>16</v>
      </c>
      <c r="C2073" t="s">
        <v>23</v>
      </c>
      <c r="D2073" t="s">
        <v>1642</v>
      </c>
      <c r="E2073" t="s">
        <v>2393</v>
      </c>
      <c r="F2073" t="s">
        <v>2437</v>
      </c>
      <c r="I2073" t="s">
        <v>2446</v>
      </c>
      <c r="J2073" t="s">
        <v>2453</v>
      </c>
      <c r="K2073" t="s">
        <v>2588</v>
      </c>
      <c r="M2073" t="s">
        <v>2637</v>
      </c>
    </row>
    <row r="2074" spans="1:14">
      <c r="A2074" s="1">
        <f>HYPERLINK("https://lsnyc.legalserver.org/matter/dynamic-profile/view/1866910","18-1866910")</f>
        <v>0</v>
      </c>
      <c r="B2074" t="s">
        <v>16</v>
      </c>
      <c r="C2074" t="s">
        <v>23</v>
      </c>
      <c r="D2074" t="s">
        <v>1643</v>
      </c>
      <c r="E2074" t="s">
        <v>2383</v>
      </c>
      <c r="F2074" t="s">
        <v>2437</v>
      </c>
      <c r="I2074" t="s">
        <v>2446</v>
      </c>
      <c r="J2074" t="s">
        <v>2490</v>
      </c>
      <c r="M2074" t="s">
        <v>2624</v>
      </c>
    </row>
    <row r="2075" spans="1:14">
      <c r="A2075" s="1">
        <f>HYPERLINK("https://lsnyc.legalserver.org/matter/dynamic-profile/view/1866914","18-1866914")</f>
        <v>0</v>
      </c>
      <c r="B2075" t="s">
        <v>16</v>
      </c>
      <c r="C2075" t="s">
        <v>23</v>
      </c>
      <c r="D2075" t="s">
        <v>1644</v>
      </c>
      <c r="E2075" t="s">
        <v>2393</v>
      </c>
      <c r="F2075" t="s">
        <v>2437</v>
      </c>
      <c r="I2075" t="s">
        <v>2446</v>
      </c>
      <c r="J2075" t="s">
        <v>2448</v>
      </c>
      <c r="K2075" t="s">
        <v>2569</v>
      </c>
      <c r="M2075" t="s">
        <v>2637</v>
      </c>
    </row>
    <row r="2076" spans="1:14">
      <c r="A2076" s="1">
        <f>HYPERLINK("https://lsnyc.legalserver.org/matter/dynamic-profile/view/1866926","18-1866926")</f>
        <v>0</v>
      </c>
      <c r="B2076" t="s">
        <v>16</v>
      </c>
      <c r="C2076" t="s">
        <v>23</v>
      </c>
      <c r="D2076" t="s">
        <v>1645</v>
      </c>
      <c r="E2076" t="s">
        <v>2393</v>
      </c>
      <c r="F2076" t="s">
        <v>2437</v>
      </c>
      <c r="I2076" t="s">
        <v>2446</v>
      </c>
      <c r="J2076" t="s">
        <v>2550</v>
      </c>
      <c r="M2076" t="s">
        <v>2637</v>
      </c>
    </row>
    <row r="2077" spans="1:14">
      <c r="A2077" s="1">
        <f>HYPERLINK("https://lsnyc.legalserver.org/matter/dynamic-profile/view/1866930","18-1866930")</f>
        <v>0</v>
      </c>
      <c r="B2077" t="s">
        <v>16</v>
      </c>
      <c r="C2077" t="s">
        <v>23</v>
      </c>
      <c r="D2077" t="s">
        <v>1646</v>
      </c>
      <c r="E2077" t="s">
        <v>2383</v>
      </c>
      <c r="F2077" t="s">
        <v>2437</v>
      </c>
      <c r="I2077" t="s">
        <v>2446</v>
      </c>
      <c r="J2077" t="s">
        <v>2551</v>
      </c>
      <c r="M2077" t="s">
        <v>2626</v>
      </c>
    </row>
    <row r="2078" spans="1:14">
      <c r="A2078" s="1">
        <f>HYPERLINK("https://lsnyc.legalserver.org/matter/dynamic-profile/view/1866672","18-1866672")</f>
        <v>0</v>
      </c>
      <c r="B2078" t="s">
        <v>16</v>
      </c>
      <c r="C2078" t="s">
        <v>23</v>
      </c>
      <c r="D2078" t="s">
        <v>1647</v>
      </c>
      <c r="J2078" t="s">
        <v>2467</v>
      </c>
      <c r="K2078" t="s">
        <v>2572</v>
      </c>
      <c r="L2078" t="s">
        <v>2601</v>
      </c>
      <c r="M2078" t="s">
        <v>2631</v>
      </c>
    </row>
    <row r="2079" spans="1:14">
      <c r="A2079" s="1">
        <f>HYPERLINK("https://lsnyc.legalserver.org/matter/dynamic-profile/view/1866749","18-1866749")</f>
        <v>0</v>
      </c>
      <c r="B2079" t="s">
        <v>16</v>
      </c>
      <c r="C2079" t="s">
        <v>23</v>
      </c>
      <c r="D2079" t="s">
        <v>1648</v>
      </c>
      <c r="E2079" t="s">
        <v>2390</v>
      </c>
      <c r="F2079" t="s">
        <v>2437</v>
      </c>
      <c r="I2079" t="s">
        <v>2446</v>
      </c>
      <c r="J2079" t="s">
        <v>2447</v>
      </c>
      <c r="K2079" t="s">
        <v>2569</v>
      </c>
      <c r="L2079" t="s">
        <v>2601</v>
      </c>
      <c r="M2079" t="s">
        <v>2631</v>
      </c>
    </row>
    <row r="2080" spans="1:14">
      <c r="A2080" s="1">
        <f>HYPERLINK("https://lsnyc.legalserver.org/matter/dynamic-profile/view/1866662","18-1866662")</f>
        <v>0</v>
      </c>
      <c r="B2080" t="s">
        <v>18</v>
      </c>
      <c r="C2080" t="s">
        <v>35</v>
      </c>
      <c r="D2080" t="s">
        <v>1649</v>
      </c>
      <c r="E2080" t="s">
        <v>2381</v>
      </c>
      <c r="F2080" t="s">
        <v>2440</v>
      </c>
      <c r="I2080" t="s">
        <v>2446</v>
      </c>
      <c r="J2080" t="s">
        <v>2448</v>
      </c>
      <c r="K2080" t="s">
        <v>2569</v>
      </c>
      <c r="L2080" t="s">
        <v>2600</v>
      </c>
      <c r="M2080" t="s">
        <v>2631</v>
      </c>
    </row>
    <row r="2081" spans="1:13">
      <c r="A2081" s="1">
        <f>HYPERLINK("https://lsnyc.legalserver.org/matter/dynamic-profile/view/1866738","18-1866738")</f>
        <v>0</v>
      </c>
      <c r="B2081" t="s">
        <v>18</v>
      </c>
      <c r="C2081" t="s">
        <v>34</v>
      </c>
      <c r="D2081" t="s">
        <v>1027</v>
      </c>
      <c r="E2081" t="s">
        <v>2376</v>
      </c>
      <c r="F2081" t="s">
        <v>2438</v>
      </c>
      <c r="I2081" t="s">
        <v>2446</v>
      </c>
      <c r="J2081" t="s">
        <v>2471</v>
      </c>
      <c r="K2081" t="s">
        <v>2572</v>
      </c>
      <c r="L2081" t="s">
        <v>2603</v>
      </c>
      <c r="M2081" t="s">
        <v>2618</v>
      </c>
    </row>
    <row r="2082" spans="1:13">
      <c r="A2082" s="1">
        <f>HYPERLINK("https://lsnyc.legalserver.org/matter/dynamic-profile/view/1866641","18-1866641")</f>
        <v>0</v>
      </c>
      <c r="B2082" t="s">
        <v>19</v>
      </c>
      <c r="C2082" t="s">
        <v>47</v>
      </c>
      <c r="D2082" t="s">
        <v>1650</v>
      </c>
      <c r="E2082" t="s">
        <v>2394</v>
      </c>
      <c r="F2082" t="s">
        <v>2439</v>
      </c>
      <c r="I2082" t="s">
        <v>2446</v>
      </c>
      <c r="J2082" t="s">
        <v>2456</v>
      </c>
      <c r="K2082" t="s">
        <v>2572</v>
      </c>
      <c r="L2082" t="s">
        <v>2601</v>
      </c>
      <c r="M2082" t="s">
        <v>2631</v>
      </c>
    </row>
    <row r="2083" spans="1:13">
      <c r="A2083" s="1">
        <f>HYPERLINK("https://lsnyc.legalserver.org/matter/dynamic-profile/view/1866637","18-1866637")</f>
        <v>0</v>
      </c>
      <c r="B2083" t="s">
        <v>15</v>
      </c>
      <c r="C2083" t="s">
        <v>49</v>
      </c>
      <c r="D2083" t="s">
        <v>1651</v>
      </c>
      <c r="E2083" t="s">
        <v>2381</v>
      </c>
      <c r="F2083" t="s">
        <v>2437</v>
      </c>
      <c r="I2083" t="s">
        <v>2446</v>
      </c>
      <c r="J2083" t="s">
        <v>2452</v>
      </c>
      <c r="K2083" t="s">
        <v>2572</v>
      </c>
      <c r="M2083" t="s">
        <v>2622</v>
      </c>
    </row>
    <row r="2084" spans="1:13">
      <c r="A2084" s="1">
        <f>HYPERLINK("https://lsnyc.legalserver.org/matter/dynamic-profile/view/1866638","18-1866638")</f>
        <v>0</v>
      </c>
      <c r="B2084" t="s">
        <v>16</v>
      </c>
      <c r="C2084" t="s">
        <v>23</v>
      </c>
      <c r="D2084" t="s">
        <v>1652</v>
      </c>
      <c r="E2084" t="s">
        <v>2393</v>
      </c>
      <c r="F2084" t="s">
        <v>2437</v>
      </c>
      <c r="I2084" t="s">
        <v>2446</v>
      </c>
      <c r="J2084" t="s">
        <v>2448</v>
      </c>
      <c r="K2084" t="s">
        <v>2569</v>
      </c>
      <c r="M2084" t="s">
        <v>2626</v>
      </c>
    </row>
    <row r="2085" spans="1:13">
      <c r="A2085" s="1">
        <f>HYPERLINK("https://lsnyc.legalserver.org/matter/dynamic-profile/view/1866643","18-1866643")</f>
        <v>0</v>
      </c>
      <c r="B2085" t="s">
        <v>16</v>
      </c>
      <c r="C2085" t="s">
        <v>23</v>
      </c>
      <c r="D2085" t="s">
        <v>1653</v>
      </c>
      <c r="E2085" t="s">
        <v>2393</v>
      </c>
      <c r="F2085" t="s">
        <v>2437</v>
      </c>
      <c r="I2085" t="s">
        <v>2446</v>
      </c>
      <c r="J2085" t="s">
        <v>2448</v>
      </c>
      <c r="K2085" t="s">
        <v>2569</v>
      </c>
      <c r="M2085" t="s">
        <v>2637</v>
      </c>
    </row>
    <row r="2086" spans="1:13">
      <c r="A2086" s="1">
        <f>HYPERLINK("https://lsnyc.legalserver.org/matter/dynamic-profile/view/1866673","18-1866673")</f>
        <v>0</v>
      </c>
      <c r="B2086" t="s">
        <v>16</v>
      </c>
      <c r="C2086" t="s">
        <v>23</v>
      </c>
      <c r="D2086" t="s">
        <v>1654</v>
      </c>
      <c r="E2086" t="s">
        <v>2393</v>
      </c>
      <c r="F2086" t="s">
        <v>2437</v>
      </c>
      <c r="I2086" t="s">
        <v>2446</v>
      </c>
      <c r="J2086" t="s">
        <v>2448</v>
      </c>
      <c r="K2086" t="s">
        <v>2569</v>
      </c>
      <c r="L2086" t="s">
        <v>2600</v>
      </c>
      <c r="M2086" t="s">
        <v>2637</v>
      </c>
    </row>
    <row r="2087" spans="1:13">
      <c r="A2087" s="1">
        <f>HYPERLINK("https://lsnyc.legalserver.org/matter/dynamic-profile/view/1866682","18-1866682")</f>
        <v>0</v>
      </c>
      <c r="B2087" t="s">
        <v>16</v>
      </c>
      <c r="C2087" t="s">
        <v>23</v>
      </c>
      <c r="D2087" t="s">
        <v>1655</v>
      </c>
      <c r="E2087" t="s">
        <v>2393</v>
      </c>
      <c r="F2087" t="s">
        <v>2437</v>
      </c>
      <c r="I2087" t="s">
        <v>2446</v>
      </c>
      <c r="J2087" t="s">
        <v>2452</v>
      </c>
      <c r="K2087" t="s">
        <v>2572</v>
      </c>
      <c r="M2087" t="s">
        <v>2637</v>
      </c>
    </row>
    <row r="2088" spans="1:13">
      <c r="A2088" s="1">
        <f>HYPERLINK("https://lsnyc.legalserver.org/matter/dynamic-profile/view/1866690","18-1866690")</f>
        <v>0</v>
      </c>
      <c r="B2088" t="s">
        <v>16</v>
      </c>
      <c r="C2088" t="s">
        <v>23</v>
      </c>
      <c r="D2088" t="s">
        <v>1656</v>
      </c>
      <c r="E2088" t="s">
        <v>2393</v>
      </c>
      <c r="F2088" t="s">
        <v>2437</v>
      </c>
      <c r="I2088" t="s">
        <v>2446</v>
      </c>
      <c r="J2088" t="s">
        <v>2447</v>
      </c>
      <c r="M2088" t="s">
        <v>2637</v>
      </c>
    </row>
    <row r="2089" spans="1:13">
      <c r="A2089" s="1">
        <f>HYPERLINK("https://lsnyc.legalserver.org/matter/dynamic-profile/view/1866721","18-1866721")</f>
        <v>0</v>
      </c>
      <c r="B2089" t="s">
        <v>15</v>
      </c>
      <c r="C2089" t="s">
        <v>49</v>
      </c>
      <c r="D2089" t="s">
        <v>1657</v>
      </c>
      <c r="E2089" t="s">
        <v>2390</v>
      </c>
      <c r="F2089" t="s">
        <v>2437</v>
      </c>
      <c r="I2089" t="s">
        <v>2446</v>
      </c>
      <c r="J2089" t="s">
        <v>2457</v>
      </c>
      <c r="K2089" t="s">
        <v>2569</v>
      </c>
      <c r="M2089" t="s">
        <v>2619</v>
      </c>
    </row>
    <row r="2090" spans="1:13">
      <c r="A2090" s="1">
        <f>HYPERLINK("https://lsnyc.legalserver.org/matter/dynamic-profile/view/1866781","18-1866781")</f>
        <v>0</v>
      </c>
      <c r="B2090" t="s">
        <v>16</v>
      </c>
      <c r="C2090" t="s">
        <v>23</v>
      </c>
      <c r="D2090" t="s">
        <v>1658</v>
      </c>
      <c r="E2090" t="s">
        <v>2390</v>
      </c>
      <c r="F2090" t="s">
        <v>2437</v>
      </c>
      <c r="I2090" t="s">
        <v>2446</v>
      </c>
      <c r="J2090" t="s">
        <v>2448</v>
      </c>
      <c r="K2090" t="s">
        <v>2569</v>
      </c>
      <c r="M2090" t="s">
        <v>2626</v>
      </c>
    </row>
    <row r="2091" spans="1:13">
      <c r="A2091" s="1">
        <f>HYPERLINK("https://lsnyc.legalserver.org/matter/dynamic-profile/view/1867358","18-1867358")</f>
        <v>0</v>
      </c>
      <c r="B2091" t="s">
        <v>16</v>
      </c>
      <c r="C2091" t="s">
        <v>23</v>
      </c>
      <c r="D2091" t="s">
        <v>1116</v>
      </c>
      <c r="E2091" t="s">
        <v>2370</v>
      </c>
      <c r="F2091" t="s">
        <v>2437</v>
      </c>
      <c r="I2091" t="s">
        <v>2446</v>
      </c>
      <c r="J2091" t="s">
        <v>2461</v>
      </c>
      <c r="K2091" t="s">
        <v>2574</v>
      </c>
      <c r="M2091" t="s">
        <v>2638</v>
      </c>
    </row>
    <row r="2092" spans="1:13">
      <c r="A2092" s="1">
        <f>HYPERLINK("https://lsnyc.legalserver.org/matter/dynamic-profile/view/1866583","18-1866583")</f>
        <v>0</v>
      </c>
      <c r="B2092" t="s">
        <v>18</v>
      </c>
      <c r="C2092" t="s">
        <v>35</v>
      </c>
      <c r="D2092" t="s">
        <v>1659</v>
      </c>
      <c r="E2092" t="s">
        <v>2381</v>
      </c>
      <c r="F2092" t="s">
        <v>2440</v>
      </c>
      <c r="I2092" t="s">
        <v>2446</v>
      </c>
      <c r="J2092" t="s">
        <v>2457</v>
      </c>
      <c r="K2092" t="s">
        <v>2572</v>
      </c>
      <c r="L2092" t="s">
        <v>2602</v>
      </c>
      <c r="M2092" t="s">
        <v>2631</v>
      </c>
    </row>
    <row r="2093" spans="1:13">
      <c r="A2093" s="1">
        <f>HYPERLINK("https://lsnyc.legalserver.org/matter/dynamic-profile/view/1866617","18-1866617")</f>
        <v>0</v>
      </c>
      <c r="B2093" t="s">
        <v>19</v>
      </c>
      <c r="C2093" t="s">
        <v>38</v>
      </c>
      <c r="D2093" t="s">
        <v>1581</v>
      </c>
      <c r="E2093" t="s">
        <v>2378</v>
      </c>
      <c r="F2093" t="s">
        <v>2437</v>
      </c>
      <c r="I2093" t="s">
        <v>2446</v>
      </c>
      <c r="J2093" t="s">
        <v>2447</v>
      </c>
      <c r="K2093" t="s">
        <v>2572</v>
      </c>
      <c r="L2093" t="s">
        <v>2600</v>
      </c>
      <c r="M2093" t="s">
        <v>2619</v>
      </c>
    </row>
    <row r="2094" spans="1:13">
      <c r="A2094" s="1">
        <f>HYPERLINK("https://lsnyc.legalserver.org/matter/dynamic-profile/view/1866625","18-1866625")</f>
        <v>0</v>
      </c>
      <c r="B2094" t="s">
        <v>14</v>
      </c>
      <c r="C2094" t="s">
        <v>20</v>
      </c>
      <c r="D2094" t="s">
        <v>1660</v>
      </c>
      <c r="E2094" t="s">
        <v>2370</v>
      </c>
      <c r="F2094" t="s">
        <v>2437</v>
      </c>
      <c r="I2094" t="s">
        <v>2446</v>
      </c>
      <c r="J2094" t="s">
        <v>2448</v>
      </c>
      <c r="K2094" t="s">
        <v>2569</v>
      </c>
      <c r="L2094" t="s">
        <v>2601</v>
      </c>
      <c r="M2094" t="s">
        <v>2631</v>
      </c>
    </row>
    <row r="2095" spans="1:13">
      <c r="A2095" s="1">
        <f>HYPERLINK("https://lsnyc.legalserver.org/matter/dynamic-profile/view/1866547","18-1866547")</f>
        <v>0</v>
      </c>
      <c r="B2095" t="s">
        <v>16</v>
      </c>
      <c r="C2095" t="s">
        <v>46</v>
      </c>
      <c r="D2095" t="s">
        <v>599</v>
      </c>
      <c r="E2095" t="s">
        <v>2390</v>
      </c>
      <c r="F2095" t="s">
        <v>2437</v>
      </c>
      <c r="I2095" t="s">
        <v>2446</v>
      </c>
      <c r="J2095" t="s">
        <v>2448</v>
      </c>
      <c r="K2095" t="s">
        <v>2569</v>
      </c>
      <c r="L2095" t="s">
        <v>2600</v>
      </c>
      <c r="M2095" t="s">
        <v>2619</v>
      </c>
    </row>
    <row r="2096" spans="1:13">
      <c r="A2096" s="1">
        <f>HYPERLINK("https://lsnyc.legalserver.org/matter/dynamic-profile/view/1866610","18-1866610")</f>
        <v>0</v>
      </c>
      <c r="B2096" t="s">
        <v>15</v>
      </c>
      <c r="C2096" t="s">
        <v>49</v>
      </c>
      <c r="D2096" t="s">
        <v>1661</v>
      </c>
      <c r="E2096" t="s">
        <v>2390</v>
      </c>
      <c r="F2096" t="s">
        <v>2437</v>
      </c>
      <c r="I2096" t="s">
        <v>2446</v>
      </c>
      <c r="J2096" t="s">
        <v>2457</v>
      </c>
      <c r="K2096" t="s">
        <v>2569</v>
      </c>
      <c r="M2096" t="s">
        <v>2619</v>
      </c>
    </row>
    <row r="2097" spans="1:13">
      <c r="A2097" s="1">
        <f>HYPERLINK("https://lsnyc.legalserver.org/matter/dynamic-profile/view/1866626","18-1866626")</f>
        <v>0</v>
      </c>
      <c r="B2097" t="s">
        <v>16</v>
      </c>
      <c r="C2097" t="s">
        <v>23</v>
      </c>
      <c r="D2097" t="s">
        <v>1662</v>
      </c>
      <c r="E2097" t="s">
        <v>2390</v>
      </c>
      <c r="F2097" t="s">
        <v>2437</v>
      </c>
      <c r="I2097" t="s">
        <v>2446</v>
      </c>
      <c r="J2097" t="s">
        <v>2448</v>
      </c>
      <c r="K2097" t="s">
        <v>2572</v>
      </c>
      <c r="M2097" t="s">
        <v>2626</v>
      </c>
    </row>
    <row r="2098" spans="1:13">
      <c r="A2098" s="1">
        <f>HYPERLINK("https://lsnyc.legalserver.org/matter/dynamic-profile/view/1866479","18-1866479")</f>
        <v>0</v>
      </c>
      <c r="B2098" t="s">
        <v>14</v>
      </c>
      <c r="C2098" t="s">
        <v>43</v>
      </c>
      <c r="D2098" t="s">
        <v>1663</v>
      </c>
      <c r="E2098" t="s">
        <v>2393</v>
      </c>
      <c r="F2098" t="s">
        <v>2437</v>
      </c>
      <c r="J2098" t="s">
        <v>2455</v>
      </c>
      <c r="K2098" t="s">
        <v>2569</v>
      </c>
      <c r="L2098" t="s">
        <v>2603</v>
      </c>
      <c r="M2098" t="s">
        <v>2637</v>
      </c>
    </row>
    <row r="2099" spans="1:13">
      <c r="A2099" s="1">
        <f>HYPERLINK("https://lsnyc.legalserver.org/matter/dynamic-profile/view/1866462","18-1866462")</f>
        <v>0</v>
      </c>
      <c r="B2099" t="s">
        <v>19</v>
      </c>
      <c r="C2099" t="s">
        <v>38</v>
      </c>
      <c r="D2099" t="s">
        <v>1664</v>
      </c>
      <c r="E2099" t="s">
        <v>2425</v>
      </c>
      <c r="F2099" t="s">
        <v>2439</v>
      </c>
      <c r="H2099" t="s">
        <v>2445</v>
      </c>
      <c r="J2099" t="s">
        <v>2500</v>
      </c>
      <c r="K2099" t="s">
        <v>2572</v>
      </c>
      <c r="L2099" t="s">
        <v>2601</v>
      </c>
      <c r="M2099" t="s">
        <v>2631</v>
      </c>
    </row>
    <row r="2100" spans="1:13">
      <c r="A2100" s="1">
        <f>HYPERLINK("https://lsnyc.legalserver.org/matter/dynamic-profile/view/1866481","18-1866481")</f>
        <v>0</v>
      </c>
      <c r="B2100" t="s">
        <v>19</v>
      </c>
      <c r="C2100" t="s">
        <v>38</v>
      </c>
      <c r="D2100" t="s">
        <v>1665</v>
      </c>
      <c r="E2100" t="s">
        <v>2390</v>
      </c>
      <c r="F2100" t="s">
        <v>2437</v>
      </c>
      <c r="I2100" t="s">
        <v>2446</v>
      </c>
      <c r="J2100" t="s">
        <v>2493</v>
      </c>
      <c r="K2100" t="s">
        <v>2572</v>
      </c>
      <c r="L2100" t="s">
        <v>2600</v>
      </c>
      <c r="M2100" t="s">
        <v>2619</v>
      </c>
    </row>
    <row r="2101" spans="1:13">
      <c r="A2101" s="1">
        <f>HYPERLINK("https://lsnyc.legalserver.org/matter/dynamic-profile/view/1866470","18-1866470")</f>
        <v>0</v>
      </c>
      <c r="B2101" t="s">
        <v>14</v>
      </c>
      <c r="C2101" t="s">
        <v>43</v>
      </c>
      <c r="D2101" t="s">
        <v>1666</v>
      </c>
      <c r="E2101" t="s">
        <v>2383</v>
      </c>
      <c r="F2101" t="s">
        <v>2437</v>
      </c>
      <c r="I2101" t="s">
        <v>2446</v>
      </c>
      <c r="J2101" t="s">
        <v>2449</v>
      </c>
      <c r="K2101" t="s">
        <v>2572</v>
      </c>
      <c r="M2101" t="s">
        <v>2624</v>
      </c>
    </row>
    <row r="2102" spans="1:13">
      <c r="A2102" s="1">
        <f>HYPERLINK("https://lsnyc.legalserver.org/matter/dynamic-profile/view/1866507","18-1866507")</f>
        <v>0</v>
      </c>
      <c r="B2102" t="s">
        <v>15</v>
      </c>
      <c r="C2102" t="s">
        <v>37</v>
      </c>
      <c r="D2102" t="s">
        <v>1667</v>
      </c>
      <c r="E2102" t="s">
        <v>2386</v>
      </c>
      <c r="F2102" t="s">
        <v>2437</v>
      </c>
      <c r="J2102" t="s">
        <v>2464</v>
      </c>
      <c r="L2102" t="s">
        <v>2600</v>
      </c>
      <c r="M2102" t="s">
        <v>2627</v>
      </c>
    </row>
    <row r="2103" spans="1:13">
      <c r="A2103" s="1">
        <f>HYPERLINK("https://lsnyc.legalserver.org/matter/dynamic-profile/view/1866515","18-1866515")</f>
        <v>0</v>
      </c>
      <c r="B2103" t="s">
        <v>14</v>
      </c>
      <c r="C2103" t="s">
        <v>23</v>
      </c>
      <c r="D2103" t="s">
        <v>1668</v>
      </c>
      <c r="E2103" t="s">
        <v>2390</v>
      </c>
      <c r="F2103" t="s">
        <v>2437</v>
      </c>
      <c r="I2103" t="s">
        <v>2446</v>
      </c>
      <c r="J2103" t="s">
        <v>2455</v>
      </c>
      <c r="K2103" t="s">
        <v>2569</v>
      </c>
      <c r="M2103" t="s">
        <v>2619</v>
      </c>
    </row>
    <row r="2104" spans="1:13">
      <c r="A2104" s="1">
        <f>HYPERLINK("https://lsnyc.legalserver.org/matter/dynamic-profile/view/1866521","18-1866521")</f>
        <v>0</v>
      </c>
      <c r="B2104" t="s">
        <v>14</v>
      </c>
      <c r="C2104" t="s">
        <v>43</v>
      </c>
      <c r="D2104" t="s">
        <v>1669</v>
      </c>
      <c r="E2104" t="s">
        <v>2383</v>
      </c>
      <c r="F2104" t="s">
        <v>2437</v>
      </c>
      <c r="I2104" t="s">
        <v>2446</v>
      </c>
      <c r="J2104" t="s">
        <v>2456</v>
      </c>
      <c r="K2104" t="s">
        <v>2572</v>
      </c>
      <c r="M2104" t="s">
        <v>2624</v>
      </c>
    </row>
    <row r="2105" spans="1:13">
      <c r="A2105" s="1">
        <f>HYPERLINK("https://lsnyc.legalserver.org/matter/dynamic-profile/view/1866277","18-1866277")</f>
        <v>0</v>
      </c>
      <c r="B2105" t="s">
        <v>16</v>
      </c>
      <c r="C2105" t="s">
        <v>23</v>
      </c>
      <c r="D2105" t="s">
        <v>1670</v>
      </c>
      <c r="E2105" t="s">
        <v>2387</v>
      </c>
      <c r="F2105" t="s">
        <v>2437</v>
      </c>
      <c r="I2105" t="s">
        <v>2446</v>
      </c>
      <c r="J2105" t="s">
        <v>2448</v>
      </c>
      <c r="K2105" t="s">
        <v>2569</v>
      </c>
      <c r="L2105" t="s">
        <v>2601</v>
      </c>
      <c r="M2105" t="s">
        <v>2641</v>
      </c>
    </row>
    <row r="2106" spans="1:13">
      <c r="A2106" s="1">
        <f>HYPERLINK("https://lsnyc.legalserver.org/matter/dynamic-profile/view/1866303","18-1866303")</f>
        <v>0</v>
      </c>
      <c r="B2106" t="s">
        <v>19</v>
      </c>
      <c r="C2106" t="s">
        <v>47</v>
      </c>
      <c r="D2106" t="s">
        <v>1671</v>
      </c>
      <c r="E2106" t="s">
        <v>2394</v>
      </c>
      <c r="F2106" t="s">
        <v>2439</v>
      </c>
      <c r="I2106" t="s">
        <v>2446</v>
      </c>
      <c r="J2106" t="s">
        <v>2448</v>
      </c>
      <c r="K2106" t="s">
        <v>2569</v>
      </c>
      <c r="L2106" t="s">
        <v>2601</v>
      </c>
      <c r="M2106" t="s">
        <v>2631</v>
      </c>
    </row>
    <row r="2107" spans="1:13">
      <c r="A2107" s="1">
        <f>HYPERLINK("https://lsnyc.legalserver.org/matter/dynamic-profile/view/1866088","18-1866088")</f>
        <v>0</v>
      </c>
      <c r="B2107" t="s">
        <v>18</v>
      </c>
      <c r="C2107" t="s">
        <v>35</v>
      </c>
      <c r="D2107" t="s">
        <v>1672</v>
      </c>
      <c r="E2107" t="s">
        <v>2394</v>
      </c>
      <c r="F2107" t="s">
        <v>2439</v>
      </c>
      <c r="J2107" t="s">
        <v>2448</v>
      </c>
      <c r="K2107" t="s">
        <v>2569</v>
      </c>
      <c r="L2107" t="s">
        <v>2602</v>
      </c>
      <c r="M2107" t="s">
        <v>2631</v>
      </c>
    </row>
    <row r="2108" spans="1:13">
      <c r="A2108" s="1">
        <f>HYPERLINK("https://lsnyc.legalserver.org/matter/dynamic-profile/view/1866096","18-1866096")</f>
        <v>0</v>
      </c>
      <c r="B2108" t="s">
        <v>19</v>
      </c>
      <c r="C2108" t="s">
        <v>62</v>
      </c>
      <c r="D2108" t="s">
        <v>1673</v>
      </c>
      <c r="E2108" t="s">
        <v>2374</v>
      </c>
      <c r="F2108" t="s">
        <v>2439</v>
      </c>
      <c r="I2108" t="s">
        <v>2446</v>
      </c>
      <c r="J2108" t="s">
        <v>2465</v>
      </c>
      <c r="K2108" t="s">
        <v>2569</v>
      </c>
      <c r="L2108" t="s">
        <v>2601</v>
      </c>
      <c r="M2108" t="s">
        <v>2631</v>
      </c>
    </row>
    <row r="2109" spans="1:13">
      <c r="A2109" s="1">
        <f>HYPERLINK("https://lsnyc.legalserver.org/matter/dynamic-profile/view/1866095","18-1866095")</f>
        <v>0</v>
      </c>
      <c r="B2109" t="s">
        <v>18</v>
      </c>
      <c r="C2109" t="s">
        <v>35</v>
      </c>
      <c r="D2109" t="s">
        <v>1674</v>
      </c>
      <c r="E2109" t="s">
        <v>2381</v>
      </c>
      <c r="F2109" t="s">
        <v>2440</v>
      </c>
      <c r="I2109" t="s">
        <v>2446</v>
      </c>
      <c r="J2109" t="s">
        <v>2552</v>
      </c>
      <c r="K2109" t="s">
        <v>2572</v>
      </c>
      <c r="L2109" t="s">
        <v>2602</v>
      </c>
      <c r="M2109" t="s">
        <v>2631</v>
      </c>
    </row>
    <row r="2110" spans="1:13">
      <c r="A2110" s="1">
        <f>HYPERLINK("https://lsnyc.legalserver.org/matter/dynamic-profile/view/1865929","18-1865929")</f>
        <v>0</v>
      </c>
      <c r="B2110" t="s">
        <v>14</v>
      </c>
      <c r="C2110" t="s">
        <v>43</v>
      </c>
      <c r="D2110" t="s">
        <v>1675</v>
      </c>
      <c r="E2110" t="s">
        <v>2419</v>
      </c>
      <c r="F2110" t="s">
        <v>2439</v>
      </c>
      <c r="I2110" t="s">
        <v>2446</v>
      </c>
      <c r="J2110" t="s">
        <v>2452</v>
      </c>
      <c r="K2110" t="s">
        <v>2572</v>
      </c>
      <c r="L2110" t="s">
        <v>2602</v>
      </c>
      <c r="M2110" t="s">
        <v>2631</v>
      </c>
    </row>
    <row r="2111" spans="1:13">
      <c r="A2111" s="1">
        <f>HYPERLINK("https://lsnyc.legalserver.org/matter/dynamic-profile/view/1865936","18-1865936")</f>
        <v>0</v>
      </c>
      <c r="B2111" t="s">
        <v>14</v>
      </c>
      <c r="C2111" t="s">
        <v>43</v>
      </c>
      <c r="D2111" t="s">
        <v>1676</v>
      </c>
      <c r="E2111" t="s">
        <v>2394</v>
      </c>
      <c r="F2111" t="s">
        <v>2437</v>
      </c>
      <c r="I2111" t="s">
        <v>2446</v>
      </c>
      <c r="J2111" t="s">
        <v>2456</v>
      </c>
      <c r="K2111" t="s">
        <v>2572</v>
      </c>
      <c r="L2111" t="s">
        <v>2601</v>
      </c>
      <c r="M2111" t="s">
        <v>2631</v>
      </c>
    </row>
    <row r="2112" spans="1:13">
      <c r="A2112" s="1">
        <f>HYPERLINK("https://lsnyc.legalserver.org/matter/dynamic-profile/view/1866033","18-1866033")</f>
        <v>0</v>
      </c>
      <c r="B2112" t="s">
        <v>16</v>
      </c>
      <c r="C2112" t="s">
        <v>23</v>
      </c>
      <c r="D2112" t="s">
        <v>1677</v>
      </c>
      <c r="E2112" t="s">
        <v>2390</v>
      </c>
      <c r="F2112" t="s">
        <v>2437</v>
      </c>
      <c r="I2112" t="s">
        <v>2446</v>
      </c>
      <c r="J2112" t="s">
        <v>2448</v>
      </c>
      <c r="K2112" t="s">
        <v>2569</v>
      </c>
      <c r="M2112" t="s">
        <v>2626</v>
      </c>
    </row>
    <row r="2113" spans="1:14">
      <c r="A2113" s="1">
        <f>HYPERLINK("https://lsnyc.legalserver.org/matter/dynamic-profile/view/1865888","18-1865888")</f>
        <v>0</v>
      </c>
      <c r="B2113" t="s">
        <v>16</v>
      </c>
      <c r="C2113" t="s">
        <v>23</v>
      </c>
      <c r="D2113" t="s">
        <v>1678</v>
      </c>
      <c r="E2113" t="s">
        <v>2390</v>
      </c>
      <c r="F2113" t="s">
        <v>2437</v>
      </c>
      <c r="I2113" t="s">
        <v>2446</v>
      </c>
      <c r="J2113" t="s">
        <v>2448</v>
      </c>
      <c r="K2113" t="s">
        <v>2569</v>
      </c>
      <c r="L2113" t="s">
        <v>2601</v>
      </c>
      <c r="M2113" t="s">
        <v>2631</v>
      </c>
    </row>
    <row r="2114" spans="1:14">
      <c r="A2114" s="1">
        <f>HYPERLINK("https://lsnyc.legalserver.org/matter/dynamic-profile/view/1865835","18-1865835")</f>
        <v>0</v>
      </c>
      <c r="B2114" t="s">
        <v>19</v>
      </c>
      <c r="C2114" t="s">
        <v>62</v>
      </c>
      <c r="D2114" t="s">
        <v>1679</v>
      </c>
      <c r="E2114" t="s">
        <v>2390</v>
      </c>
      <c r="F2114" t="s">
        <v>2439</v>
      </c>
      <c r="I2114" t="s">
        <v>2446</v>
      </c>
      <c r="J2114" t="s">
        <v>2452</v>
      </c>
      <c r="K2114" t="s">
        <v>2572</v>
      </c>
      <c r="L2114" t="s">
        <v>2601</v>
      </c>
      <c r="M2114" t="s">
        <v>2631</v>
      </c>
    </row>
    <row r="2115" spans="1:14">
      <c r="A2115" s="1">
        <f>HYPERLINK("https://lsnyc.legalserver.org/matter/dynamic-profile/view/1865904","18-1865904")</f>
        <v>0</v>
      </c>
      <c r="B2115" t="s">
        <v>18</v>
      </c>
      <c r="C2115" t="s">
        <v>35</v>
      </c>
      <c r="D2115" t="s">
        <v>321</v>
      </c>
      <c r="E2115" t="s">
        <v>2390</v>
      </c>
      <c r="F2115" t="s">
        <v>2437</v>
      </c>
      <c r="I2115" t="s">
        <v>2446</v>
      </c>
      <c r="J2115" t="s">
        <v>2452</v>
      </c>
      <c r="K2115" t="s">
        <v>2572</v>
      </c>
      <c r="L2115" t="s">
        <v>2603</v>
      </c>
      <c r="M2115" t="s">
        <v>2619</v>
      </c>
    </row>
    <row r="2116" spans="1:14">
      <c r="A2116" s="1">
        <f>HYPERLINK("https://lsnyc.legalserver.org/matter/dynamic-profile/view/1865824","18-1865824")</f>
        <v>0</v>
      </c>
      <c r="B2116" t="s">
        <v>19</v>
      </c>
      <c r="C2116" t="s">
        <v>62</v>
      </c>
      <c r="D2116" t="s">
        <v>1680</v>
      </c>
      <c r="E2116" t="s">
        <v>2390</v>
      </c>
      <c r="F2116" t="s">
        <v>2437</v>
      </c>
      <c r="I2116" t="s">
        <v>2446</v>
      </c>
      <c r="J2116" t="s">
        <v>2452</v>
      </c>
      <c r="K2116" t="s">
        <v>2572</v>
      </c>
      <c r="L2116" t="s">
        <v>2600</v>
      </c>
      <c r="M2116" t="s">
        <v>2619</v>
      </c>
    </row>
    <row r="2117" spans="1:14">
      <c r="A2117" s="1">
        <f>HYPERLINK("https://lsnyc.legalserver.org/matter/dynamic-profile/view/1865866","18-1865866")</f>
        <v>0</v>
      </c>
      <c r="B2117" t="s">
        <v>16</v>
      </c>
      <c r="C2117" t="s">
        <v>23</v>
      </c>
      <c r="D2117" t="s">
        <v>1681</v>
      </c>
      <c r="E2117" t="s">
        <v>2390</v>
      </c>
      <c r="F2117" t="s">
        <v>2437</v>
      </c>
      <c r="I2117" t="s">
        <v>2446</v>
      </c>
      <c r="J2117" t="s">
        <v>2477</v>
      </c>
      <c r="M2117" t="s">
        <v>2619</v>
      </c>
    </row>
    <row r="2118" spans="1:14">
      <c r="A2118" s="1">
        <f>HYPERLINK("https://lsnyc.legalserver.org/matter/dynamic-profile/view/1865870","18-1865870")</f>
        <v>0</v>
      </c>
      <c r="B2118" t="s">
        <v>16</v>
      </c>
      <c r="C2118" t="s">
        <v>23</v>
      </c>
      <c r="D2118" t="s">
        <v>1681</v>
      </c>
      <c r="E2118" t="s">
        <v>2393</v>
      </c>
      <c r="F2118" t="s">
        <v>2437</v>
      </c>
      <c r="I2118" t="s">
        <v>2446</v>
      </c>
      <c r="J2118" t="s">
        <v>2477</v>
      </c>
      <c r="K2118" t="s">
        <v>2569</v>
      </c>
      <c r="M2118" t="s">
        <v>2637</v>
      </c>
    </row>
    <row r="2119" spans="1:14">
      <c r="A2119" s="1">
        <f>HYPERLINK("https://lsnyc.legalserver.org/matter/dynamic-profile/view/1865874","18-1865874")</f>
        <v>0</v>
      </c>
      <c r="B2119" t="s">
        <v>16</v>
      </c>
      <c r="C2119" t="s">
        <v>46</v>
      </c>
      <c r="D2119" t="s">
        <v>560</v>
      </c>
      <c r="E2119" t="s">
        <v>2390</v>
      </c>
      <c r="F2119" t="s">
        <v>2437</v>
      </c>
      <c r="I2119" t="s">
        <v>2446</v>
      </c>
      <c r="J2119" t="s">
        <v>2448</v>
      </c>
      <c r="K2119" t="s">
        <v>2569</v>
      </c>
      <c r="M2119" t="s">
        <v>2619</v>
      </c>
    </row>
    <row r="2120" spans="1:14">
      <c r="A2120" s="1">
        <f>HYPERLINK("https://lsnyc.legalserver.org/matter/dynamic-profile/view/1865732","18-1865732")</f>
        <v>0</v>
      </c>
      <c r="B2120" t="s">
        <v>16</v>
      </c>
      <c r="C2120" t="s">
        <v>23</v>
      </c>
      <c r="D2120" t="s">
        <v>1682</v>
      </c>
      <c r="J2120" t="s">
        <v>2448</v>
      </c>
      <c r="K2120" t="s">
        <v>2572</v>
      </c>
      <c r="L2120" t="s">
        <v>2601</v>
      </c>
      <c r="M2120" t="s">
        <v>2631</v>
      </c>
    </row>
    <row r="2121" spans="1:14">
      <c r="A2121" s="1">
        <f>HYPERLINK("https://lsnyc.legalserver.org/matter/dynamic-profile/view/1865767","18-1865767")</f>
        <v>0</v>
      </c>
      <c r="B2121" t="s">
        <v>16</v>
      </c>
      <c r="C2121" t="s">
        <v>23</v>
      </c>
      <c r="D2121" t="s">
        <v>1683</v>
      </c>
      <c r="J2121" t="s">
        <v>2448</v>
      </c>
      <c r="K2121" t="s">
        <v>2569</v>
      </c>
      <c r="L2121" t="s">
        <v>2601</v>
      </c>
      <c r="M2121" t="s">
        <v>2631</v>
      </c>
    </row>
    <row r="2122" spans="1:14">
      <c r="A2122" s="1">
        <f>HYPERLINK("https://lsnyc.legalserver.org/matter/dynamic-profile/view/1865738","18-1865738")</f>
        <v>0</v>
      </c>
      <c r="B2122" t="s">
        <v>14</v>
      </c>
      <c r="C2122" t="s">
        <v>23</v>
      </c>
      <c r="D2122" t="s">
        <v>1684</v>
      </c>
      <c r="E2122" t="s">
        <v>2390</v>
      </c>
      <c r="I2122" t="s">
        <v>2446</v>
      </c>
      <c r="J2122" t="s">
        <v>2467</v>
      </c>
      <c r="K2122" t="s">
        <v>2572</v>
      </c>
      <c r="L2122" t="s">
        <v>2601</v>
      </c>
      <c r="M2122" t="s">
        <v>2631</v>
      </c>
    </row>
    <row r="2123" spans="1:14">
      <c r="A2123" s="1">
        <f>HYPERLINK("https://lsnyc.legalserver.org/matter/dynamic-profile/view/1865800","18-1865800")</f>
        <v>0</v>
      </c>
      <c r="B2123" t="s">
        <v>16</v>
      </c>
      <c r="C2123" t="s">
        <v>23</v>
      </c>
      <c r="D2123" t="s">
        <v>1685</v>
      </c>
      <c r="E2123" t="s">
        <v>2390</v>
      </c>
      <c r="F2123" t="s">
        <v>2437</v>
      </c>
      <c r="I2123" t="s">
        <v>2446</v>
      </c>
      <c r="J2123" t="s">
        <v>2447</v>
      </c>
      <c r="K2123" t="s">
        <v>2572</v>
      </c>
      <c r="L2123" t="s">
        <v>2601</v>
      </c>
      <c r="M2123" t="s">
        <v>2631</v>
      </c>
    </row>
    <row r="2124" spans="1:14">
      <c r="A2124" s="1">
        <f>HYPERLINK("https://lsnyc.legalserver.org/matter/dynamic-profile/view/1865734","18-1865734")</f>
        <v>0</v>
      </c>
      <c r="B2124" t="s">
        <v>19</v>
      </c>
      <c r="C2124" t="s">
        <v>62</v>
      </c>
      <c r="D2124" t="s">
        <v>1686</v>
      </c>
      <c r="E2124" t="s">
        <v>2376</v>
      </c>
      <c r="F2124" t="s">
        <v>2437</v>
      </c>
      <c r="I2124" t="s">
        <v>2446</v>
      </c>
      <c r="J2124" t="s">
        <v>2455</v>
      </c>
      <c r="K2124" t="s">
        <v>2569</v>
      </c>
      <c r="L2124" t="s">
        <v>2600</v>
      </c>
      <c r="M2124" t="s">
        <v>2618</v>
      </c>
    </row>
    <row r="2125" spans="1:14">
      <c r="A2125" s="1">
        <f>HYPERLINK("https://lsnyc.legalserver.org/matter/dynamic-profile/view/1865728","18-1865728")</f>
        <v>0</v>
      </c>
      <c r="B2125" t="s">
        <v>15</v>
      </c>
      <c r="C2125" t="s">
        <v>31</v>
      </c>
      <c r="D2125" t="s">
        <v>1687</v>
      </c>
      <c r="E2125" t="s">
        <v>2381</v>
      </c>
      <c r="F2125" t="s">
        <v>2437</v>
      </c>
      <c r="I2125" t="s">
        <v>2446</v>
      </c>
      <c r="J2125" t="s">
        <v>2452</v>
      </c>
      <c r="K2125" t="s">
        <v>2572</v>
      </c>
      <c r="L2125" t="s">
        <v>2604</v>
      </c>
      <c r="M2125" t="s">
        <v>2622</v>
      </c>
    </row>
    <row r="2126" spans="1:14">
      <c r="A2126" s="1">
        <f>HYPERLINK("https://lsnyc.legalserver.org/matter/dynamic-profile/view/1865680","18-1865680")</f>
        <v>0</v>
      </c>
      <c r="B2126" t="s">
        <v>15</v>
      </c>
      <c r="C2126" t="s">
        <v>76</v>
      </c>
      <c r="D2126" t="s">
        <v>1688</v>
      </c>
      <c r="E2126" t="s">
        <v>2375</v>
      </c>
      <c r="F2126" t="s">
        <v>2438</v>
      </c>
      <c r="J2126" t="s">
        <v>2553</v>
      </c>
      <c r="M2126" t="s">
        <v>2617</v>
      </c>
    </row>
    <row r="2127" spans="1:14">
      <c r="A2127" s="1">
        <f>HYPERLINK("https://lsnyc.legalserver.org/matter/dynamic-profile/view/1865703","18-1865703")</f>
        <v>0</v>
      </c>
      <c r="B2127" t="s">
        <v>16</v>
      </c>
      <c r="C2127" t="s">
        <v>23</v>
      </c>
      <c r="D2127" t="s">
        <v>1689</v>
      </c>
      <c r="E2127" t="s">
        <v>2408</v>
      </c>
      <c r="F2127" t="s">
        <v>2437</v>
      </c>
      <c r="I2127" t="s">
        <v>2446</v>
      </c>
      <c r="J2127" t="s">
        <v>2455</v>
      </c>
      <c r="K2127" t="s">
        <v>2569</v>
      </c>
      <c r="M2127" t="s">
        <v>2619</v>
      </c>
    </row>
    <row r="2128" spans="1:14">
      <c r="A2128" s="1">
        <f>HYPERLINK("https://lsnyc.legalserver.org/matter/dynamic-profile/view/1865747","18-1865747")</f>
        <v>0</v>
      </c>
      <c r="B2128" t="s">
        <v>15</v>
      </c>
      <c r="C2128" t="s">
        <v>32</v>
      </c>
      <c r="D2128" t="s">
        <v>1690</v>
      </c>
      <c r="E2128" t="s">
        <v>2383</v>
      </c>
      <c r="F2128" t="s">
        <v>2437</v>
      </c>
      <c r="J2128" t="s">
        <v>2449</v>
      </c>
      <c r="K2128" t="s">
        <v>2569</v>
      </c>
      <c r="L2128" t="s">
        <v>2600</v>
      </c>
      <c r="M2128" t="s">
        <v>2624</v>
      </c>
      <c r="N2128" t="s">
        <v>2649</v>
      </c>
    </row>
    <row r="2129" spans="1:13">
      <c r="A2129" s="1">
        <f>HYPERLINK("https://lsnyc.legalserver.org/matter/dynamic-profile/view/1865677","18-1865677")</f>
        <v>0</v>
      </c>
      <c r="B2129" t="s">
        <v>14</v>
      </c>
      <c r="C2129" t="s">
        <v>20</v>
      </c>
      <c r="D2129" t="s">
        <v>1691</v>
      </c>
      <c r="E2129" t="s">
        <v>2391</v>
      </c>
      <c r="F2129" t="s">
        <v>2437</v>
      </c>
      <c r="J2129" t="s">
        <v>2450</v>
      </c>
      <c r="K2129" t="s">
        <v>2569</v>
      </c>
      <c r="L2129" t="s">
        <v>2603</v>
      </c>
      <c r="M2129" t="s">
        <v>2615</v>
      </c>
    </row>
    <row r="2130" spans="1:13">
      <c r="A2130" s="1">
        <f>HYPERLINK("https://lsnyc.legalserver.org/matter/dynamic-profile/view/1865507","18-1865507")</f>
        <v>0</v>
      </c>
      <c r="B2130" t="s">
        <v>19</v>
      </c>
      <c r="C2130" t="s">
        <v>62</v>
      </c>
      <c r="D2130" t="s">
        <v>1426</v>
      </c>
      <c r="E2130" t="s">
        <v>2375</v>
      </c>
      <c r="F2130" t="s">
        <v>2437</v>
      </c>
      <c r="I2130" t="s">
        <v>2446</v>
      </c>
      <c r="J2130" t="s">
        <v>2488</v>
      </c>
      <c r="K2130" t="s">
        <v>2569</v>
      </c>
      <c r="L2130" t="s">
        <v>2608</v>
      </c>
      <c r="M2130" t="s">
        <v>2617</v>
      </c>
    </row>
    <row r="2131" spans="1:13">
      <c r="A2131" s="1">
        <f>HYPERLINK("https://lsnyc.legalserver.org/matter/dynamic-profile/view/1865406","18-1865406")</f>
        <v>0</v>
      </c>
      <c r="B2131" t="s">
        <v>16</v>
      </c>
      <c r="C2131" t="s">
        <v>46</v>
      </c>
      <c r="D2131" t="s">
        <v>1692</v>
      </c>
      <c r="E2131" t="s">
        <v>2408</v>
      </c>
      <c r="F2131" t="s">
        <v>2437</v>
      </c>
      <c r="I2131" t="s">
        <v>2446</v>
      </c>
      <c r="J2131" t="s">
        <v>2448</v>
      </c>
      <c r="K2131" t="s">
        <v>2569</v>
      </c>
      <c r="L2131" t="s">
        <v>2600</v>
      </c>
      <c r="M2131" t="s">
        <v>2619</v>
      </c>
    </row>
    <row r="2132" spans="1:13">
      <c r="A2132" s="1">
        <f>HYPERLINK("https://lsnyc.legalserver.org/matter/dynamic-profile/view/1865451","18-1865451")</f>
        <v>0</v>
      </c>
      <c r="B2132" t="s">
        <v>16</v>
      </c>
      <c r="C2132" t="s">
        <v>23</v>
      </c>
      <c r="D2132" t="s">
        <v>1693</v>
      </c>
      <c r="E2132" t="s">
        <v>2390</v>
      </c>
      <c r="F2132" t="s">
        <v>2437</v>
      </c>
      <c r="G2132" t="s">
        <v>2444</v>
      </c>
      <c r="I2132" t="s">
        <v>2446</v>
      </c>
      <c r="J2132" t="s">
        <v>2498</v>
      </c>
      <c r="K2132" t="s">
        <v>2586</v>
      </c>
      <c r="M2132" t="s">
        <v>2619</v>
      </c>
    </row>
    <row r="2133" spans="1:13">
      <c r="A2133" s="1">
        <f>HYPERLINK("https://lsnyc.legalserver.org/matter/dynamic-profile/view/1865504","18-1865504")</f>
        <v>0</v>
      </c>
      <c r="B2133" t="s">
        <v>15</v>
      </c>
      <c r="C2133" t="s">
        <v>49</v>
      </c>
      <c r="D2133" t="s">
        <v>1694</v>
      </c>
      <c r="E2133" t="s">
        <v>2390</v>
      </c>
      <c r="F2133" t="s">
        <v>2437</v>
      </c>
      <c r="I2133" t="s">
        <v>2446</v>
      </c>
      <c r="J2133" t="s">
        <v>2449</v>
      </c>
      <c r="K2133" t="s">
        <v>2569</v>
      </c>
      <c r="M2133" t="s">
        <v>2619</v>
      </c>
    </row>
    <row r="2134" spans="1:13">
      <c r="A2134" s="1">
        <f>HYPERLINK("https://lsnyc.legalserver.org/matter/dynamic-profile/view/1865259","18-1865259")</f>
        <v>0</v>
      </c>
      <c r="B2134" t="s">
        <v>16</v>
      </c>
      <c r="C2134" t="s">
        <v>43</v>
      </c>
      <c r="D2134" t="s">
        <v>1618</v>
      </c>
      <c r="E2134" t="s">
        <v>2394</v>
      </c>
      <c r="F2134" t="s">
        <v>2437</v>
      </c>
      <c r="I2134" t="s">
        <v>2446</v>
      </c>
      <c r="J2134" t="s">
        <v>2456</v>
      </c>
      <c r="K2134" t="s">
        <v>2569</v>
      </c>
      <c r="L2134" t="s">
        <v>2600</v>
      </c>
      <c r="M2134" t="s">
        <v>2627</v>
      </c>
    </row>
    <row r="2135" spans="1:13">
      <c r="A2135" s="1">
        <f>HYPERLINK("https://lsnyc.legalserver.org/matter/dynamic-profile/view/1861887","18-1861887")</f>
        <v>0</v>
      </c>
      <c r="B2135" t="s">
        <v>17</v>
      </c>
      <c r="C2135" t="s">
        <v>28</v>
      </c>
      <c r="D2135" t="s">
        <v>761</v>
      </c>
      <c r="E2135" t="s">
        <v>2375</v>
      </c>
      <c r="F2135" t="s">
        <v>2437</v>
      </c>
      <c r="I2135" t="s">
        <v>2446</v>
      </c>
      <c r="J2135" t="s">
        <v>2454</v>
      </c>
      <c r="K2135" t="s">
        <v>2572</v>
      </c>
      <c r="L2135" t="s">
        <v>2600</v>
      </c>
      <c r="M2135" t="s">
        <v>2617</v>
      </c>
    </row>
    <row r="2136" spans="1:13">
      <c r="A2136" s="1">
        <f>HYPERLINK("https://lsnyc.legalserver.org/matter/dynamic-profile/view/1865370","18-1865370")</f>
        <v>0</v>
      </c>
      <c r="B2136" t="s">
        <v>16</v>
      </c>
      <c r="C2136" t="s">
        <v>23</v>
      </c>
      <c r="D2136" t="s">
        <v>1695</v>
      </c>
      <c r="E2136" t="s">
        <v>2387</v>
      </c>
      <c r="F2136" t="s">
        <v>2437</v>
      </c>
      <c r="J2136" t="s">
        <v>2457</v>
      </c>
      <c r="K2136" t="s">
        <v>2569</v>
      </c>
      <c r="M2136" t="s">
        <v>2629</v>
      </c>
    </row>
    <row r="2137" spans="1:13">
      <c r="A2137" s="1">
        <f>HYPERLINK("https://lsnyc.legalserver.org/matter/dynamic-profile/view/1865236","18-1865236")</f>
        <v>0</v>
      </c>
      <c r="B2137" t="s">
        <v>14</v>
      </c>
      <c r="C2137" t="s">
        <v>33</v>
      </c>
      <c r="D2137" t="s">
        <v>1047</v>
      </c>
      <c r="E2137" t="s">
        <v>2375</v>
      </c>
      <c r="F2137" t="s">
        <v>2437</v>
      </c>
      <c r="I2137" t="s">
        <v>2446</v>
      </c>
      <c r="J2137" t="s">
        <v>2487</v>
      </c>
      <c r="K2137" t="s">
        <v>2572</v>
      </c>
      <c r="L2137" t="s">
        <v>2603</v>
      </c>
      <c r="M2137" t="s">
        <v>2617</v>
      </c>
    </row>
    <row r="2138" spans="1:13">
      <c r="A2138" s="1">
        <f>HYPERLINK("https://lsnyc.legalserver.org/matter/dynamic-profile/view/1865238","18-1865238")</f>
        <v>0</v>
      </c>
      <c r="B2138" t="s">
        <v>15</v>
      </c>
      <c r="C2138" t="s">
        <v>37</v>
      </c>
      <c r="D2138" t="s">
        <v>1667</v>
      </c>
      <c r="E2138" t="s">
        <v>2374</v>
      </c>
      <c r="F2138" t="s">
        <v>2438</v>
      </c>
      <c r="I2138" t="s">
        <v>2446</v>
      </c>
      <c r="J2138" t="s">
        <v>2464</v>
      </c>
      <c r="M2138" t="s">
        <v>2616</v>
      </c>
    </row>
    <row r="2139" spans="1:13">
      <c r="A2139" s="1">
        <f>HYPERLINK("https://lsnyc.legalserver.org/matter/dynamic-profile/view/1865540","18-1865540")</f>
        <v>0</v>
      </c>
      <c r="B2139" t="s">
        <v>18</v>
      </c>
      <c r="C2139" t="s">
        <v>53</v>
      </c>
      <c r="D2139" t="s">
        <v>1696</v>
      </c>
      <c r="E2139" t="s">
        <v>2390</v>
      </c>
      <c r="F2139" t="s">
        <v>2439</v>
      </c>
      <c r="I2139" t="s">
        <v>2446</v>
      </c>
      <c r="J2139" t="s">
        <v>2448</v>
      </c>
      <c r="K2139" t="s">
        <v>2569</v>
      </c>
      <c r="L2139" t="s">
        <v>2601</v>
      </c>
      <c r="M2139" t="s">
        <v>2631</v>
      </c>
    </row>
    <row r="2140" spans="1:13">
      <c r="A2140" s="1">
        <f>HYPERLINK("https://lsnyc.legalserver.org/matter/dynamic-profile/view/1864914","18-1864914")</f>
        <v>0</v>
      </c>
      <c r="B2140" t="s">
        <v>16</v>
      </c>
      <c r="C2140" t="s">
        <v>23</v>
      </c>
      <c r="D2140" t="s">
        <v>1697</v>
      </c>
      <c r="J2140" t="s">
        <v>2447</v>
      </c>
      <c r="K2140" t="s">
        <v>2569</v>
      </c>
      <c r="L2140" t="s">
        <v>2601</v>
      </c>
      <c r="M2140" t="s">
        <v>2631</v>
      </c>
    </row>
    <row r="2141" spans="1:13">
      <c r="A2141" s="1">
        <f>HYPERLINK("https://lsnyc.legalserver.org/matter/dynamic-profile/view/1864958","18-1864958")</f>
        <v>0</v>
      </c>
      <c r="B2141" t="s">
        <v>19</v>
      </c>
      <c r="C2141" t="s">
        <v>38</v>
      </c>
      <c r="D2141" t="s">
        <v>1698</v>
      </c>
      <c r="E2141" t="s">
        <v>2390</v>
      </c>
      <c r="F2141" t="s">
        <v>2440</v>
      </c>
      <c r="I2141" t="s">
        <v>2446</v>
      </c>
      <c r="J2141" t="s">
        <v>2452</v>
      </c>
      <c r="K2141" t="s">
        <v>2572</v>
      </c>
      <c r="L2141" t="s">
        <v>2601</v>
      </c>
      <c r="M2141" t="s">
        <v>2631</v>
      </c>
    </row>
    <row r="2142" spans="1:13">
      <c r="A2142" s="1">
        <f>HYPERLINK("https://lsnyc.legalserver.org/matter/dynamic-profile/view/1864935","18-1864935")</f>
        <v>0</v>
      </c>
      <c r="B2142" t="s">
        <v>19</v>
      </c>
      <c r="C2142" t="s">
        <v>50</v>
      </c>
      <c r="D2142" t="s">
        <v>1699</v>
      </c>
      <c r="E2142" t="s">
        <v>2385</v>
      </c>
      <c r="F2142" t="s">
        <v>2438</v>
      </c>
      <c r="I2142" t="s">
        <v>2446</v>
      </c>
      <c r="J2142" t="s">
        <v>2465</v>
      </c>
      <c r="K2142" t="s">
        <v>2569</v>
      </c>
      <c r="L2142" t="s">
        <v>2600</v>
      </c>
      <c r="M2142" t="s">
        <v>2616</v>
      </c>
    </row>
    <row r="2143" spans="1:13">
      <c r="A2143" s="1">
        <f>HYPERLINK("https://lsnyc.legalserver.org/matter/dynamic-profile/view/1864990","18-1864990")</f>
        <v>0</v>
      </c>
      <c r="B2143" t="s">
        <v>16</v>
      </c>
      <c r="C2143" t="s">
        <v>46</v>
      </c>
      <c r="D2143" t="s">
        <v>1007</v>
      </c>
      <c r="E2143" t="s">
        <v>2387</v>
      </c>
      <c r="F2143" t="s">
        <v>2437</v>
      </c>
      <c r="I2143" t="s">
        <v>2446</v>
      </c>
      <c r="J2143" t="s">
        <v>2457</v>
      </c>
      <c r="K2143" t="s">
        <v>2569</v>
      </c>
      <c r="M2143" t="s">
        <v>2629</v>
      </c>
    </row>
    <row r="2144" spans="1:13">
      <c r="A2144" s="1">
        <f>HYPERLINK("https://lsnyc.legalserver.org/matter/dynamic-profile/view/1864811","18-1864811")</f>
        <v>0</v>
      </c>
      <c r="B2144" t="s">
        <v>19</v>
      </c>
      <c r="C2144" t="s">
        <v>50</v>
      </c>
      <c r="D2144" t="s">
        <v>1600</v>
      </c>
      <c r="E2144" t="s">
        <v>2385</v>
      </c>
      <c r="F2144" t="s">
        <v>2440</v>
      </c>
      <c r="I2144" t="s">
        <v>2446</v>
      </c>
      <c r="J2144" t="s">
        <v>2471</v>
      </c>
      <c r="K2144" t="s">
        <v>2572</v>
      </c>
      <c r="L2144" t="s">
        <v>2601</v>
      </c>
      <c r="M2144" t="s">
        <v>2631</v>
      </c>
    </row>
    <row r="2145" spans="1:14">
      <c r="A2145" s="1">
        <f>HYPERLINK("https://lsnyc.legalserver.org/matter/dynamic-profile/view/1864804","18-1864804")</f>
        <v>0</v>
      </c>
      <c r="B2145" t="s">
        <v>18</v>
      </c>
      <c r="C2145" t="s">
        <v>35</v>
      </c>
      <c r="D2145" t="s">
        <v>1700</v>
      </c>
      <c r="E2145" t="s">
        <v>2371</v>
      </c>
      <c r="F2145" t="s">
        <v>2440</v>
      </c>
      <c r="J2145" t="s">
        <v>2535</v>
      </c>
      <c r="K2145" t="s">
        <v>2582</v>
      </c>
      <c r="L2145" t="s">
        <v>2600</v>
      </c>
      <c r="M2145" t="s">
        <v>2636</v>
      </c>
    </row>
    <row r="2146" spans="1:14">
      <c r="A2146" s="1">
        <f>HYPERLINK("https://lsnyc.legalserver.org/matter/dynamic-profile/view/1864806","18-1864806")</f>
        <v>0</v>
      </c>
      <c r="B2146" t="s">
        <v>18</v>
      </c>
      <c r="C2146" t="s">
        <v>35</v>
      </c>
      <c r="D2146" t="s">
        <v>1701</v>
      </c>
      <c r="E2146" t="s">
        <v>2371</v>
      </c>
      <c r="F2146" t="s">
        <v>2440</v>
      </c>
      <c r="J2146" t="s">
        <v>2535</v>
      </c>
      <c r="K2146" t="s">
        <v>2582</v>
      </c>
      <c r="L2146" t="s">
        <v>2600</v>
      </c>
      <c r="M2146" t="s">
        <v>2636</v>
      </c>
    </row>
    <row r="2147" spans="1:14">
      <c r="A2147" s="1">
        <f>HYPERLINK("https://lsnyc.legalserver.org/matter/dynamic-profile/view/1864746","18-1864746")</f>
        <v>0</v>
      </c>
      <c r="B2147" t="s">
        <v>14</v>
      </c>
      <c r="C2147" t="s">
        <v>20</v>
      </c>
      <c r="D2147" t="s">
        <v>1702</v>
      </c>
      <c r="E2147" t="s">
        <v>2387</v>
      </c>
      <c r="F2147" t="s">
        <v>2437</v>
      </c>
      <c r="J2147" t="s">
        <v>2450</v>
      </c>
      <c r="K2147" t="s">
        <v>2569</v>
      </c>
      <c r="L2147" t="s">
        <v>2600</v>
      </c>
      <c r="M2147" t="s">
        <v>2629</v>
      </c>
    </row>
    <row r="2148" spans="1:14">
      <c r="A2148" s="1">
        <f>HYPERLINK("https://lsnyc.legalserver.org/matter/dynamic-profile/view/1864798","18-1864798")</f>
        <v>0</v>
      </c>
      <c r="B2148" t="s">
        <v>14</v>
      </c>
      <c r="C2148" t="s">
        <v>44</v>
      </c>
      <c r="D2148" t="s">
        <v>1703</v>
      </c>
      <c r="E2148" t="s">
        <v>2381</v>
      </c>
      <c r="F2148" t="s">
        <v>2437</v>
      </c>
      <c r="I2148" t="s">
        <v>2446</v>
      </c>
      <c r="J2148" t="s">
        <v>2448</v>
      </c>
      <c r="K2148" t="s">
        <v>2569</v>
      </c>
      <c r="L2148" t="s">
        <v>2600</v>
      </c>
      <c r="M2148" t="s">
        <v>2622</v>
      </c>
    </row>
    <row r="2149" spans="1:14">
      <c r="A2149" s="1">
        <f>HYPERLINK("https://lsnyc.legalserver.org/matter/dynamic-profile/view/1864701","18-1864701")</f>
        <v>0</v>
      </c>
      <c r="B2149" t="s">
        <v>18</v>
      </c>
      <c r="C2149" t="s">
        <v>34</v>
      </c>
      <c r="D2149" t="s">
        <v>1704</v>
      </c>
      <c r="F2149" t="s">
        <v>2439</v>
      </c>
      <c r="J2149" t="s">
        <v>2497</v>
      </c>
      <c r="K2149" t="s">
        <v>2572</v>
      </c>
      <c r="L2149" t="s">
        <v>2601</v>
      </c>
      <c r="M2149" t="s">
        <v>2631</v>
      </c>
    </row>
    <row r="2150" spans="1:14">
      <c r="A2150" s="1">
        <f>HYPERLINK("https://lsnyc.legalserver.org/matter/dynamic-profile/view/1864580","18-1864580")</f>
        <v>0</v>
      </c>
      <c r="B2150" t="s">
        <v>19</v>
      </c>
      <c r="C2150" t="s">
        <v>62</v>
      </c>
      <c r="D2150" t="s">
        <v>1439</v>
      </c>
      <c r="E2150" t="s">
        <v>2374</v>
      </c>
      <c r="F2150" t="s">
        <v>2437</v>
      </c>
      <c r="J2150" t="s">
        <v>2453</v>
      </c>
      <c r="K2150" t="s">
        <v>2572</v>
      </c>
      <c r="L2150" t="s">
        <v>2603</v>
      </c>
      <c r="M2150" t="s">
        <v>2626</v>
      </c>
    </row>
    <row r="2151" spans="1:14">
      <c r="A2151" s="1">
        <f>HYPERLINK("https://lsnyc.legalserver.org/matter/dynamic-profile/view/1864590","18-1864590")</f>
        <v>0</v>
      </c>
      <c r="B2151" t="s">
        <v>19</v>
      </c>
      <c r="C2151" t="s">
        <v>62</v>
      </c>
      <c r="D2151" t="s">
        <v>1705</v>
      </c>
      <c r="E2151" t="s">
        <v>2382</v>
      </c>
      <c r="F2151" t="s">
        <v>2437</v>
      </c>
      <c r="I2151" t="s">
        <v>2446</v>
      </c>
      <c r="J2151" t="s">
        <v>2554</v>
      </c>
      <c r="K2151" t="s">
        <v>2572</v>
      </c>
      <c r="L2151" t="s">
        <v>2603</v>
      </c>
      <c r="M2151" t="s">
        <v>2623</v>
      </c>
    </row>
    <row r="2152" spans="1:14">
      <c r="A2152" s="1">
        <f>HYPERLINK("https://lsnyc.legalserver.org/matter/dynamic-profile/view/1864693","18-1864693")</f>
        <v>0</v>
      </c>
      <c r="B2152" t="s">
        <v>16</v>
      </c>
      <c r="C2152" t="s">
        <v>23</v>
      </c>
      <c r="D2152" t="s">
        <v>1706</v>
      </c>
      <c r="E2152" t="s">
        <v>2390</v>
      </c>
      <c r="F2152" t="s">
        <v>2437</v>
      </c>
      <c r="I2152" t="s">
        <v>2446</v>
      </c>
      <c r="J2152" t="s">
        <v>2452</v>
      </c>
      <c r="K2152" t="s">
        <v>2572</v>
      </c>
      <c r="L2152" t="s">
        <v>2604</v>
      </c>
      <c r="M2152" t="s">
        <v>2619</v>
      </c>
    </row>
    <row r="2153" spans="1:14">
      <c r="A2153" s="1">
        <f>HYPERLINK("https://lsnyc.legalserver.org/matter/dynamic-profile/view/1864647","18-1864647")</f>
        <v>0</v>
      </c>
      <c r="B2153" t="s">
        <v>15</v>
      </c>
      <c r="C2153" t="s">
        <v>22</v>
      </c>
      <c r="D2153" t="s">
        <v>1707</v>
      </c>
      <c r="E2153" t="s">
        <v>2383</v>
      </c>
      <c r="F2153" t="s">
        <v>2437</v>
      </c>
      <c r="J2153" t="s">
        <v>2452</v>
      </c>
      <c r="K2153" t="s">
        <v>2572</v>
      </c>
      <c r="M2153" t="s">
        <v>2624</v>
      </c>
    </row>
    <row r="2154" spans="1:14">
      <c r="A2154" s="1">
        <f>HYPERLINK("https://lsnyc.legalserver.org/matter/dynamic-profile/view/1864718","18-1864718")</f>
        <v>0</v>
      </c>
      <c r="B2154" t="s">
        <v>19</v>
      </c>
      <c r="C2154" t="s">
        <v>47</v>
      </c>
      <c r="D2154" t="s">
        <v>163</v>
      </c>
      <c r="E2154" t="s">
        <v>2394</v>
      </c>
      <c r="F2154" t="s">
        <v>2437</v>
      </c>
      <c r="J2154" t="s">
        <v>2452</v>
      </c>
      <c r="K2154" t="s">
        <v>2572</v>
      </c>
      <c r="L2154" t="s">
        <v>2605</v>
      </c>
      <c r="M2154" t="s">
        <v>2627</v>
      </c>
      <c r="N2154" t="s">
        <v>2648</v>
      </c>
    </row>
    <row r="2155" spans="1:14">
      <c r="A2155" s="1">
        <f>HYPERLINK("https://lsnyc.legalserver.org/matter/dynamic-profile/view/1864721","18-1864721")</f>
        <v>0</v>
      </c>
      <c r="B2155" t="s">
        <v>19</v>
      </c>
      <c r="C2155" t="s">
        <v>47</v>
      </c>
      <c r="D2155" t="s">
        <v>163</v>
      </c>
      <c r="E2155" t="s">
        <v>2394</v>
      </c>
      <c r="F2155" t="s">
        <v>2437</v>
      </c>
      <c r="J2155" t="s">
        <v>2452</v>
      </c>
      <c r="K2155" t="s">
        <v>2572</v>
      </c>
      <c r="L2155" t="s">
        <v>2605</v>
      </c>
      <c r="M2155" t="s">
        <v>2627</v>
      </c>
      <c r="N2155" t="s">
        <v>2648</v>
      </c>
    </row>
    <row r="2156" spans="1:14">
      <c r="A2156" s="1">
        <f>HYPERLINK("https://lsnyc.legalserver.org/matter/dynamic-profile/view/1864499","18-1864499")</f>
        <v>0</v>
      </c>
      <c r="B2156" t="s">
        <v>16</v>
      </c>
      <c r="C2156" t="s">
        <v>23</v>
      </c>
      <c r="D2156" t="s">
        <v>1708</v>
      </c>
      <c r="E2156" t="s">
        <v>2375</v>
      </c>
      <c r="I2156" t="s">
        <v>2446</v>
      </c>
      <c r="J2156" t="s">
        <v>2461</v>
      </c>
      <c r="K2156" t="s">
        <v>2571</v>
      </c>
      <c r="M2156" t="s">
        <v>2617</v>
      </c>
    </row>
    <row r="2157" spans="1:14">
      <c r="A2157" s="1">
        <f>HYPERLINK("https://lsnyc.legalserver.org/matter/dynamic-profile/view/1864534","18-1864534")</f>
        <v>0</v>
      </c>
      <c r="B2157" t="s">
        <v>14</v>
      </c>
      <c r="C2157" t="s">
        <v>21</v>
      </c>
      <c r="D2157" t="s">
        <v>537</v>
      </c>
      <c r="E2157" t="s">
        <v>2391</v>
      </c>
      <c r="F2157" t="s">
        <v>2437</v>
      </c>
      <c r="I2157" t="s">
        <v>2446</v>
      </c>
      <c r="J2157" t="s">
        <v>2450</v>
      </c>
      <c r="K2157" t="s">
        <v>2569</v>
      </c>
      <c r="L2157" t="s">
        <v>2600</v>
      </c>
      <c r="M2157" t="s">
        <v>2615</v>
      </c>
      <c r="N2157" t="s">
        <v>2649</v>
      </c>
    </row>
    <row r="2158" spans="1:14">
      <c r="A2158" s="1">
        <f>HYPERLINK("https://lsnyc.legalserver.org/matter/dynamic-profile/view/1864350","18-1864350")</f>
        <v>0</v>
      </c>
      <c r="B2158" t="s">
        <v>15</v>
      </c>
      <c r="C2158" t="s">
        <v>49</v>
      </c>
      <c r="D2158" t="s">
        <v>1709</v>
      </c>
      <c r="E2158" t="s">
        <v>2390</v>
      </c>
      <c r="F2158" t="s">
        <v>2437</v>
      </c>
      <c r="H2158" t="s">
        <v>2445</v>
      </c>
      <c r="J2158" t="s">
        <v>2476</v>
      </c>
      <c r="K2158" t="s">
        <v>2572</v>
      </c>
      <c r="L2158" t="s">
        <v>2601</v>
      </c>
      <c r="M2158" t="s">
        <v>2631</v>
      </c>
    </row>
    <row r="2159" spans="1:14">
      <c r="A2159" s="1">
        <f>HYPERLINK("https://lsnyc.legalserver.org/matter/dynamic-profile/view/1864249","18-1864249")</f>
        <v>0</v>
      </c>
      <c r="B2159" t="s">
        <v>18</v>
      </c>
      <c r="C2159" t="s">
        <v>34</v>
      </c>
      <c r="D2159" t="s">
        <v>1710</v>
      </c>
      <c r="J2159" t="s">
        <v>2448</v>
      </c>
      <c r="K2159" t="s">
        <v>2569</v>
      </c>
      <c r="L2159" t="s">
        <v>2601</v>
      </c>
      <c r="M2159" t="s">
        <v>2631</v>
      </c>
    </row>
    <row r="2160" spans="1:14">
      <c r="A2160" s="1">
        <f>HYPERLINK("https://lsnyc.legalserver.org/matter/dynamic-profile/view/1864261","18-1864261")</f>
        <v>0</v>
      </c>
      <c r="B2160" t="s">
        <v>19</v>
      </c>
      <c r="C2160" t="s">
        <v>62</v>
      </c>
      <c r="D2160" t="s">
        <v>1711</v>
      </c>
      <c r="E2160" t="s">
        <v>2390</v>
      </c>
      <c r="F2160" t="s">
        <v>2437</v>
      </c>
      <c r="I2160" t="s">
        <v>2446</v>
      </c>
      <c r="J2160" t="s">
        <v>2476</v>
      </c>
      <c r="K2160" t="s">
        <v>2572</v>
      </c>
      <c r="L2160" t="s">
        <v>2603</v>
      </c>
      <c r="M2160" t="s">
        <v>2626</v>
      </c>
    </row>
    <row r="2161" spans="1:13">
      <c r="A2161" s="1">
        <f>HYPERLINK("https://lsnyc.legalserver.org/matter/dynamic-profile/view/1864265","18-1864265")</f>
        <v>0</v>
      </c>
      <c r="B2161" t="s">
        <v>17</v>
      </c>
      <c r="C2161" t="s">
        <v>25</v>
      </c>
      <c r="D2161" t="s">
        <v>1712</v>
      </c>
      <c r="E2161" t="s">
        <v>2374</v>
      </c>
      <c r="F2161" t="s">
        <v>2442</v>
      </c>
      <c r="I2161" t="s">
        <v>2446</v>
      </c>
      <c r="J2161" t="s">
        <v>2450</v>
      </c>
      <c r="K2161" t="s">
        <v>2569</v>
      </c>
      <c r="L2161" t="s">
        <v>2604</v>
      </c>
      <c r="M2161" t="s">
        <v>2616</v>
      </c>
    </row>
    <row r="2162" spans="1:13">
      <c r="A2162" s="1">
        <f>HYPERLINK("https://lsnyc.legalserver.org/matter/dynamic-profile/view/1864288","18-1864288")</f>
        <v>0</v>
      </c>
      <c r="B2162" t="s">
        <v>16</v>
      </c>
      <c r="C2162" t="s">
        <v>23</v>
      </c>
      <c r="D2162" t="s">
        <v>1713</v>
      </c>
      <c r="E2162" t="s">
        <v>2390</v>
      </c>
      <c r="F2162" t="s">
        <v>2437</v>
      </c>
      <c r="I2162" t="s">
        <v>2446</v>
      </c>
      <c r="J2162" t="s">
        <v>2470</v>
      </c>
      <c r="K2162" t="s">
        <v>2577</v>
      </c>
      <c r="M2162" t="s">
        <v>2626</v>
      </c>
    </row>
    <row r="2163" spans="1:13">
      <c r="A2163" s="1">
        <f>HYPERLINK("https://lsnyc.legalserver.org/matter/dynamic-profile/view/1864310","18-1864310")</f>
        <v>0</v>
      </c>
      <c r="B2163" t="s">
        <v>16</v>
      </c>
      <c r="C2163" t="s">
        <v>23</v>
      </c>
      <c r="D2163" t="s">
        <v>1714</v>
      </c>
      <c r="E2163" t="s">
        <v>2387</v>
      </c>
      <c r="F2163" t="s">
        <v>2437</v>
      </c>
      <c r="I2163" t="s">
        <v>2446</v>
      </c>
      <c r="J2163" t="s">
        <v>2465</v>
      </c>
      <c r="K2163" t="s">
        <v>2569</v>
      </c>
      <c r="M2163" t="s">
        <v>2629</v>
      </c>
    </row>
    <row r="2164" spans="1:13">
      <c r="A2164" s="1">
        <f>HYPERLINK("https://lsnyc.legalserver.org/matter/dynamic-profile/view/1864123","18-1864123")</f>
        <v>0</v>
      </c>
      <c r="B2164" t="s">
        <v>16</v>
      </c>
      <c r="C2164" t="s">
        <v>23</v>
      </c>
      <c r="D2164" t="s">
        <v>1715</v>
      </c>
      <c r="J2164" t="s">
        <v>2451</v>
      </c>
      <c r="K2164" t="s">
        <v>2572</v>
      </c>
      <c r="L2164" t="s">
        <v>2601</v>
      </c>
      <c r="M2164" t="s">
        <v>2631</v>
      </c>
    </row>
    <row r="2165" spans="1:13">
      <c r="A2165" s="1">
        <f>HYPERLINK("https://lsnyc.legalserver.org/matter/dynamic-profile/view/1864074","18-1864074")</f>
        <v>0</v>
      </c>
      <c r="B2165" t="s">
        <v>16</v>
      </c>
      <c r="C2165" t="s">
        <v>23</v>
      </c>
      <c r="D2165" t="s">
        <v>1716</v>
      </c>
      <c r="E2165" t="s">
        <v>2390</v>
      </c>
      <c r="F2165" t="s">
        <v>2439</v>
      </c>
      <c r="I2165" t="s">
        <v>2446</v>
      </c>
      <c r="J2165" t="s">
        <v>2455</v>
      </c>
      <c r="K2165" t="s">
        <v>2569</v>
      </c>
      <c r="L2165" t="s">
        <v>2601</v>
      </c>
      <c r="M2165" t="s">
        <v>2631</v>
      </c>
    </row>
    <row r="2166" spans="1:13">
      <c r="A2166" s="1">
        <f>HYPERLINK("https://lsnyc.legalserver.org/matter/dynamic-profile/view/1864086","18-1864086")</f>
        <v>0</v>
      </c>
      <c r="B2166" t="s">
        <v>16</v>
      </c>
      <c r="C2166" t="s">
        <v>23</v>
      </c>
      <c r="D2166" t="s">
        <v>1717</v>
      </c>
      <c r="E2166" t="s">
        <v>2390</v>
      </c>
      <c r="F2166" t="s">
        <v>2439</v>
      </c>
      <c r="I2166" t="s">
        <v>2446</v>
      </c>
      <c r="J2166" t="s">
        <v>2467</v>
      </c>
      <c r="K2166" t="s">
        <v>2572</v>
      </c>
      <c r="L2166" t="s">
        <v>2601</v>
      </c>
      <c r="M2166" t="s">
        <v>2631</v>
      </c>
    </row>
    <row r="2167" spans="1:13">
      <c r="A2167" s="1">
        <f>HYPERLINK("https://lsnyc.legalserver.org/matter/dynamic-profile/view/1864169","18-1864169")</f>
        <v>0</v>
      </c>
      <c r="B2167" t="s">
        <v>16</v>
      </c>
      <c r="C2167" t="s">
        <v>23</v>
      </c>
      <c r="D2167" t="s">
        <v>1718</v>
      </c>
      <c r="E2167" t="s">
        <v>2390</v>
      </c>
      <c r="F2167" t="s">
        <v>2437</v>
      </c>
      <c r="I2167" t="s">
        <v>2446</v>
      </c>
      <c r="J2167" t="s">
        <v>2452</v>
      </c>
      <c r="K2167" t="s">
        <v>2572</v>
      </c>
      <c r="M2167" t="s">
        <v>2619</v>
      </c>
    </row>
    <row r="2168" spans="1:13">
      <c r="A2168" s="1">
        <f>HYPERLINK("https://lsnyc.legalserver.org/matter/dynamic-profile/view/1864014","18-1864014")</f>
        <v>0</v>
      </c>
      <c r="B2168" t="s">
        <v>19</v>
      </c>
      <c r="C2168" t="s">
        <v>27</v>
      </c>
      <c r="D2168" t="s">
        <v>1719</v>
      </c>
      <c r="F2168" t="s">
        <v>2439</v>
      </c>
      <c r="J2168" t="s">
        <v>2452</v>
      </c>
      <c r="K2168" t="s">
        <v>2572</v>
      </c>
      <c r="L2168" t="s">
        <v>2602</v>
      </c>
      <c r="M2168" t="s">
        <v>2631</v>
      </c>
    </row>
    <row r="2169" spans="1:13">
      <c r="A2169" s="1">
        <f>HYPERLINK("https://lsnyc.legalserver.org/matter/dynamic-profile/view/1863992","18-1863992")</f>
        <v>0</v>
      </c>
      <c r="B2169" t="s">
        <v>16</v>
      </c>
      <c r="C2169" t="s">
        <v>23</v>
      </c>
      <c r="D2169" t="s">
        <v>1720</v>
      </c>
      <c r="J2169" t="s">
        <v>2452</v>
      </c>
      <c r="K2169" t="s">
        <v>2572</v>
      </c>
      <c r="L2169" t="s">
        <v>2601</v>
      </c>
      <c r="M2169" t="s">
        <v>2631</v>
      </c>
    </row>
    <row r="2170" spans="1:13">
      <c r="A2170" s="1">
        <f>HYPERLINK("https://lsnyc.legalserver.org/matter/dynamic-profile/view/1863959","18-1863959")</f>
        <v>0</v>
      </c>
      <c r="B2170" t="s">
        <v>18</v>
      </c>
      <c r="C2170" t="s">
        <v>35</v>
      </c>
      <c r="D2170" t="s">
        <v>409</v>
      </c>
      <c r="E2170" t="s">
        <v>2376</v>
      </c>
      <c r="F2170" t="s">
        <v>2437</v>
      </c>
      <c r="I2170" t="s">
        <v>2446</v>
      </c>
      <c r="J2170" t="s">
        <v>2499</v>
      </c>
      <c r="K2170" t="s">
        <v>2572</v>
      </c>
      <c r="L2170" t="s">
        <v>2603</v>
      </c>
      <c r="M2170" t="s">
        <v>2618</v>
      </c>
    </row>
    <row r="2171" spans="1:13">
      <c r="A2171" s="1">
        <f>HYPERLINK("https://lsnyc.legalserver.org/matter/dynamic-profile/view/1864027","18-1864027")</f>
        <v>0</v>
      </c>
      <c r="B2171" t="s">
        <v>15</v>
      </c>
      <c r="C2171" t="s">
        <v>49</v>
      </c>
      <c r="D2171" t="s">
        <v>1721</v>
      </c>
      <c r="E2171" t="s">
        <v>2383</v>
      </c>
      <c r="F2171" t="s">
        <v>2439</v>
      </c>
      <c r="I2171" t="s">
        <v>2446</v>
      </c>
      <c r="J2171" t="s">
        <v>2455</v>
      </c>
      <c r="L2171" t="s">
        <v>2601</v>
      </c>
      <c r="M2171" t="s">
        <v>2631</v>
      </c>
    </row>
    <row r="2172" spans="1:13">
      <c r="A2172" s="1">
        <f>HYPERLINK("https://lsnyc.legalserver.org/matter/dynamic-profile/view/1863931","18-1863931")</f>
        <v>0</v>
      </c>
      <c r="B2172" t="s">
        <v>18</v>
      </c>
      <c r="C2172" t="s">
        <v>34</v>
      </c>
      <c r="D2172" t="s">
        <v>1348</v>
      </c>
      <c r="E2172" t="s">
        <v>2383</v>
      </c>
      <c r="F2172" t="s">
        <v>2437</v>
      </c>
      <c r="I2172" t="s">
        <v>2446</v>
      </c>
      <c r="J2172" t="s">
        <v>2543</v>
      </c>
      <c r="K2172" t="s">
        <v>2572</v>
      </c>
      <c r="L2172" t="s">
        <v>2603</v>
      </c>
      <c r="M2172" t="s">
        <v>2624</v>
      </c>
    </row>
    <row r="2173" spans="1:13">
      <c r="A2173" s="1">
        <f>HYPERLINK("https://lsnyc.legalserver.org/matter/dynamic-profile/view/1863985","18-1863985")</f>
        <v>0</v>
      </c>
      <c r="B2173" t="s">
        <v>16</v>
      </c>
      <c r="C2173" t="s">
        <v>23</v>
      </c>
      <c r="D2173" t="s">
        <v>1643</v>
      </c>
      <c r="E2173" t="s">
        <v>2370</v>
      </c>
      <c r="F2173" t="s">
        <v>2437</v>
      </c>
      <c r="I2173" t="s">
        <v>2446</v>
      </c>
      <c r="J2173" t="s">
        <v>2476</v>
      </c>
      <c r="K2173" t="s">
        <v>2572</v>
      </c>
      <c r="M2173" t="s">
        <v>2638</v>
      </c>
    </row>
    <row r="2174" spans="1:13">
      <c r="A2174" s="1">
        <f>HYPERLINK("https://lsnyc.legalserver.org/matter/dynamic-profile/view/1864008","18-1864008")</f>
        <v>0</v>
      </c>
      <c r="B2174" t="s">
        <v>16</v>
      </c>
      <c r="C2174" t="s">
        <v>23</v>
      </c>
      <c r="D2174" t="s">
        <v>1722</v>
      </c>
      <c r="E2174" t="s">
        <v>2390</v>
      </c>
      <c r="F2174" t="s">
        <v>2437</v>
      </c>
      <c r="I2174" t="s">
        <v>2446</v>
      </c>
      <c r="J2174" t="s">
        <v>2532</v>
      </c>
      <c r="K2174" t="s">
        <v>2569</v>
      </c>
      <c r="M2174" t="s">
        <v>2619</v>
      </c>
    </row>
    <row r="2175" spans="1:13">
      <c r="A2175" s="1">
        <f>HYPERLINK("https://lsnyc.legalserver.org/matter/dynamic-profile/view/1863827","18-1863827")</f>
        <v>0</v>
      </c>
      <c r="B2175" t="s">
        <v>14</v>
      </c>
      <c r="C2175" t="s">
        <v>69</v>
      </c>
      <c r="D2175" t="s">
        <v>1723</v>
      </c>
      <c r="E2175" t="s">
        <v>2374</v>
      </c>
      <c r="F2175" t="s">
        <v>2439</v>
      </c>
      <c r="J2175" t="s">
        <v>2465</v>
      </c>
      <c r="K2175" t="s">
        <v>2569</v>
      </c>
      <c r="L2175" t="s">
        <v>2602</v>
      </c>
      <c r="M2175" t="s">
        <v>2631</v>
      </c>
    </row>
    <row r="2176" spans="1:13">
      <c r="A2176" s="1">
        <f>HYPERLINK("https://lsnyc.legalserver.org/matter/dynamic-profile/view/1863855","18-1863855")</f>
        <v>0</v>
      </c>
      <c r="B2176" t="s">
        <v>16</v>
      </c>
      <c r="C2176" t="s">
        <v>23</v>
      </c>
      <c r="D2176" t="s">
        <v>1724</v>
      </c>
      <c r="E2176" t="s">
        <v>2387</v>
      </c>
      <c r="F2176" t="s">
        <v>2439</v>
      </c>
      <c r="J2176" t="s">
        <v>2477</v>
      </c>
      <c r="K2176" t="s">
        <v>2569</v>
      </c>
      <c r="L2176" t="s">
        <v>2601</v>
      </c>
      <c r="M2176" t="s">
        <v>2641</v>
      </c>
    </row>
    <row r="2177" spans="1:13">
      <c r="A2177" s="1">
        <f>HYPERLINK("https://lsnyc.legalserver.org/matter/dynamic-profile/view/1863814","18-1863814")</f>
        <v>0</v>
      </c>
      <c r="B2177" t="s">
        <v>14</v>
      </c>
      <c r="C2177" t="s">
        <v>21</v>
      </c>
      <c r="D2177" t="s">
        <v>1725</v>
      </c>
      <c r="E2177" t="s">
        <v>2403</v>
      </c>
      <c r="F2177" t="s">
        <v>2441</v>
      </c>
      <c r="I2177" t="s">
        <v>2446</v>
      </c>
      <c r="J2177" t="s">
        <v>2450</v>
      </c>
      <c r="K2177" t="s">
        <v>2569</v>
      </c>
      <c r="L2177" t="s">
        <v>2609</v>
      </c>
      <c r="M2177" t="s">
        <v>2639</v>
      </c>
    </row>
    <row r="2178" spans="1:13">
      <c r="A2178" s="1">
        <f>HYPERLINK("https://lsnyc.legalserver.org/matter/dynamic-profile/view/1863766","18-1863766")</f>
        <v>0</v>
      </c>
      <c r="B2178" t="s">
        <v>16</v>
      </c>
      <c r="C2178" t="s">
        <v>23</v>
      </c>
      <c r="D2178" t="s">
        <v>1726</v>
      </c>
      <c r="E2178" t="s">
        <v>2393</v>
      </c>
      <c r="F2178" t="s">
        <v>2437</v>
      </c>
      <c r="I2178" t="s">
        <v>2446</v>
      </c>
      <c r="J2178" t="s">
        <v>2447</v>
      </c>
      <c r="K2178" t="s">
        <v>2569</v>
      </c>
      <c r="M2178" t="s">
        <v>2637</v>
      </c>
    </row>
    <row r="2179" spans="1:13">
      <c r="A2179" s="1">
        <f>HYPERLINK("https://lsnyc.legalserver.org/matter/dynamic-profile/view/1863772","18-1863772")</f>
        <v>0</v>
      </c>
      <c r="B2179" t="s">
        <v>16</v>
      </c>
      <c r="C2179" t="s">
        <v>23</v>
      </c>
      <c r="D2179" t="s">
        <v>1540</v>
      </c>
      <c r="E2179" t="s">
        <v>2393</v>
      </c>
      <c r="F2179" t="s">
        <v>2437</v>
      </c>
      <c r="I2179" t="s">
        <v>2446</v>
      </c>
      <c r="J2179" t="s">
        <v>2455</v>
      </c>
      <c r="K2179" t="s">
        <v>2569</v>
      </c>
      <c r="M2179" t="s">
        <v>2637</v>
      </c>
    </row>
    <row r="2180" spans="1:13">
      <c r="A2180" s="1">
        <f>HYPERLINK("https://lsnyc.legalserver.org/matter/dynamic-profile/view/1863784","18-1863784")</f>
        <v>0</v>
      </c>
      <c r="B2180" t="s">
        <v>16</v>
      </c>
      <c r="C2180" t="s">
        <v>23</v>
      </c>
      <c r="D2180" t="s">
        <v>1727</v>
      </c>
      <c r="E2180" t="s">
        <v>2393</v>
      </c>
      <c r="F2180" t="s">
        <v>2437</v>
      </c>
      <c r="I2180" t="s">
        <v>2446</v>
      </c>
      <c r="J2180" t="s">
        <v>2447</v>
      </c>
      <c r="K2180" t="s">
        <v>2569</v>
      </c>
      <c r="M2180" t="s">
        <v>2637</v>
      </c>
    </row>
    <row r="2181" spans="1:13">
      <c r="A2181" s="1">
        <f>HYPERLINK("https://lsnyc.legalserver.org/matter/dynamic-profile/view/1863793","18-1863793")</f>
        <v>0</v>
      </c>
      <c r="B2181" t="s">
        <v>16</v>
      </c>
      <c r="C2181" t="s">
        <v>23</v>
      </c>
      <c r="D2181" t="s">
        <v>1728</v>
      </c>
      <c r="E2181" t="s">
        <v>2381</v>
      </c>
      <c r="F2181" t="s">
        <v>2437</v>
      </c>
      <c r="I2181" t="s">
        <v>2446</v>
      </c>
      <c r="J2181" t="s">
        <v>2489</v>
      </c>
      <c r="M2181" t="s">
        <v>2626</v>
      </c>
    </row>
    <row r="2182" spans="1:13">
      <c r="A2182" s="1">
        <f>HYPERLINK("https://lsnyc.legalserver.org/matter/dynamic-profile/view/1863803","18-1863803")</f>
        <v>0</v>
      </c>
      <c r="B2182" t="s">
        <v>16</v>
      </c>
      <c r="C2182" t="s">
        <v>23</v>
      </c>
      <c r="D2182" t="s">
        <v>1729</v>
      </c>
      <c r="E2182" t="s">
        <v>2393</v>
      </c>
      <c r="F2182" t="s">
        <v>2437</v>
      </c>
      <c r="I2182" t="s">
        <v>2446</v>
      </c>
      <c r="J2182" t="s">
        <v>2448</v>
      </c>
      <c r="K2182" t="s">
        <v>2569</v>
      </c>
      <c r="M2182" t="s">
        <v>2637</v>
      </c>
    </row>
    <row r="2183" spans="1:13">
      <c r="A2183" s="1">
        <f>HYPERLINK("https://lsnyc.legalserver.org/matter/dynamic-profile/view/1863804","18-1863804")</f>
        <v>0</v>
      </c>
      <c r="B2183" t="s">
        <v>16</v>
      </c>
      <c r="C2183" t="s">
        <v>23</v>
      </c>
      <c r="D2183" t="s">
        <v>1541</v>
      </c>
      <c r="E2183" t="s">
        <v>2393</v>
      </c>
      <c r="F2183" t="s">
        <v>2437</v>
      </c>
      <c r="I2183" t="s">
        <v>2446</v>
      </c>
      <c r="J2183" t="s">
        <v>2447</v>
      </c>
      <c r="K2183" t="s">
        <v>2569</v>
      </c>
      <c r="M2183" t="s">
        <v>2637</v>
      </c>
    </row>
    <row r="2184" spans="1:13">
      <c r="A2184" s="1">
        <f>HYPERLINK("https://lsnyc.legalserver.org/matter/dynamic-profile/view/1863811","18-1863811")</f>
        <v>0</v>
      </c>
      <c r="B2184" t="s">
        <v>16</v>
      </c>
      <c r="C2184" t="s">
        <v>23</v>
      </c>
      <c r="D2184" t="s">
        <v>1730</v>
      </c>
      <c r="E2184" t="s">
        <v>2381</v>
      </c>
      <c r="F2184" t="s">
        <v>2437</v>
      </c>
      <c r="I2184" t="s">
        <v>2446</v>
      </c>
      <c r="J2184" t="s">
        <v>2448</v>
      </c>
      <c r="K2184" t="s">
        <v>2572</v>
      </c>
      <c r="M2184" t="s">
        <v>2622</v>
      </c>
    </row>
    <row r="2185" spans="1:13">
      <c r="A2185" s="1">
        <f>HYPERLINK("https://lsnyc.legalserver.org/matter/dynamic-profile/view/1863822","18-1863822")</f>
        <v>0</v>
      </c>
      <c r="B2185" t="s">
        <v>16</v>
      </c>
      <c r="C2185" t="s">
        <v>23</v>
      </c>
      <c r="D2185" t="s">
        <v>1731</v>
      </c>
      <c r="E2185" t="s">
        <v>2393</v>
      </c>
      <c r="F2185" t="s">
        <v>2437</v>
      </c>
      <c r="I2185" t="s">
        <v>2446</v>
      </c>
      <c r="J2185" t="s">
        <v>2448</v>
      </c>
      <c r="K2185" t="s">
        <v>2572</v>
      </c>
      <c r="L2185" t="s">
        <v>2600</v>
      </c>
      <c r="M2185" t="s">
        <v>2637</v>
      </c>
    </row>
    <row r="2186" spans="1:13">
      <c r="A2186" s="1">
        <f>HYPERLINK("https://lsnyc.legalserver.org/matter/dynamic-profile/view/1863832","18-1863832")</f>
        <v>0</v>
      </c>
      <c r="B2186" t="s">
        <v>16</v>
      </c>
      <c r="C2186" t="s">
        <v>23</v>
      </c>
      <c r="D2186" t="s">
        <v>1732</v>
      </c>
      <c r="E2186" t="s">
        <v>2381</v>
      </c>
      <c r="F2186" t="s">
        <v>2437</v>
      </c>
      <c r="H2186" t="s">
        <v>2445</v>
      </c>
      <c r="J2186" t="s">
        <v>2452</v>
      </c>
      <c r="M2186" t="s">
        <v>2622</v>
      </c>
    </row>
    <row r="2187" spans="1:13">
      <c r="A2187" s="1">
        <f>HYPERLINK("https://lsnyc.legalserver.org/matter/dynamic-profile/view/1863835","18-1863835")</f>
        <v>0</v>
      </c>
      <c r="B2187" t="s">
        <v>16</v>
      </c>
      <c r="C2187" t="s">
        <v>23</v>
      </c>
      <c r="D2187" t="s">
        <v>1733</v>
      </c>
      <c r="E2187" t="s">
        <v>2393</v>
      </c>
      <c r="F2187" t="s">
        <v>2437</v>
      </c>
      <c r="I2187" t="s">
        <v>2446</v>
      </c>
      <c r="J2187" t="s">
        <v>2457</v>
      </c>
      <c r="K2187" t="s">
        <v>2569</v>
      </c>
      <c r="M2187" t="s">
        <v>2626</v>
      </c>
    </row>
    <row r="2188" spans="1:13">
      <c r="A2188" s="1">
        <f>HYPERLINK("https://lsnyc.legalserver.org/matter/dynamic-profile/view/1863859","18-1863859")</f>
        <v>0</v>
      </c>
      <c r="B2188" t="s">
        <v>16</v>
      </c>
      <c r="C2188" t="s">
        <v>23</v>
      </c>
      <c r="D2188" t="s">
        <v>1734</v>
      </c>
      <c r="E2188" t="s">
        <v>2393</v>
      </c>
      <c r="F2188" t="s">
        <v>2437</v>
      </c>
      <c r="I2188" t="s">
        <v>2446</v>
      </c>
      <c r="J2188" t="s">
        <v>2453</v>
      </c>
      <c r="K2188" t="s">
        <v>2587</v>
      </c>
      <c r="M2188" t="s">
        <v>2637</v>
      </c>
    </row>
    <row r="2189" spans="1:13">
      <c r="A2189" s="1">
        <f>HYPERLINK("https://lsnyc.legalserver.org/matter/dynamic-profile/view/1863865","18-1863865")</f>
        <v>0</v>
      </c>
      <c r="B2189" t="s">
        <v>16</v>
      </c>
      <c r="C2189" t="s">
        <v>23</v>
      </c>
      <c r="D2189" t="s">
        <v>1735</v>
      </c>
      <c r="E2189" t="s">
        <v>2393</v>
      </c>
      <c r="F2189" t="s">
        <v>2437</v>
      </c>
      <c r="I2189" t="s">
        <v>2446</v>
      </c>
      <c r="J2189" t="s">
        <v>2530</v>
      </c>
      <c r="K2189" t="s">
        <v>2572</v>
      </c>
      <c r="L2189" t="s">
        <v>2600</v>
      </c>
      <c r="M2189" t="s">
        <v>2637</v>
      </c>
    </row>
    <row r="2190" spans="1:13">
      <c r="A2190" s="1">
        <f>HYPERLINK("https://lsnyc.legalserver.org/matter/dynamic-profile/view/1863866","18-1863866")</f>
        <v>0</v>
      </c>
      <c r="B2190" t="s">
        <v>16</v>
      </c>
      <c r="C2190" t="s">
        <v>23</v>
      </c>
      <c r="D2190" t="s">
        <v>1736</v>
      </c>
      <c r="E2190" t="s">
        <v>2393</v>
      </c>
      <c r="F2190" t="s">
        <v>2437</v>
      </c>
      <c r="I2190" t="s">
        <v>2446</v>
      </c>
      <c r="J2190" t="s">
        <v>2522</v>
      </c>
      <c r="K2190" t="s">
        <v>2572</v>
      </c>
      <c r="M2190" t="s">
        <v>2637</v>
      </c>
    </row>
    <row r="2191" spans="1:13">
      <c r="A2191" s="1">
        <f>HYPERLINK("https://lsnyc.legalserver.org/matter/dynamic-profile/view/1863871","18-1863871")</f>
        <v>0</v>
      </c>
      <c r="B2191" t="s">
        <v>16</v>
      </c>
      <c r="C2191" t="s">
        <v>23</v>
      </c>
      <c r="D2191" t="s">
        <v>1737</v>
      </c>
      <c r="E2191" t="s">
        <v>2393</v>
      </c>
      <c r="F2191" t="s">
        <v>2437</v>
      </c>
      <c r="I2191" t="s">
        <v>2446</v>
      </c>
      <c r="J2191" t="s">
        <v>2476</v>
      </c>
      <c r="K2191" t="s">
        <v>2572</v>
      </c>
      <c r="M2191" t="s">
        <v>2637</v>
      </c>
    </row>
    <row r="2192" spans="1:13">
      <c r="A2192" s="1">
        <f>HYPERLINK("https://lsnyc.legalserver.org/matter/dynamic-profile/view/1863874","18-1863874")</f>
        <v>0</v>
      </c>
      <c r="B2192" t="s">
        <v>16</v>
      </c>
      <c r="C2192" t="s">
        <v>23</v>
      </c>
      <c r="D2192" t="s">
        <v>1738</v>
      </c>
      <c r="E2192" t="s">
        <v>2406</v>
      </c>
      <c r="F2192" t="s">
        <v>2437</v>
      </c>
      <c r="I2192" t="s">
        <v>2446</v>
      </c>
      <c r="J2192" t="s">
        <v>2457</v>
      </c>
      <c r="M2192" t="s">
        <v>2642</v>
      </c>
    </row>
    <row r="2193" spans="1:13">
      <c r="A2193" s="1">
        <f>HYPERLINK("https://lsnyc.legalserver.org/matter/dynamic-profile/view/1863880","18-1863880")</f>
        <v>0</v>
      </c>
      <c r="B2193" t="s">
        <v>16</v>
      </c>
      <c r="C2193" t="s">
        <v>23</v>
      </c>
      <c r="D2193" t="s">
        <v>1739</v>
      </c>
      <c r="E2193" t="s">
        <v>2408</v>
      </c>
      <c r="F2193" t="s">
        <v>2439</v>
      </c>
      <c r="I2193" t="s">
        <v>2446</v>
      </c>
      <c r="J2193" t="s">
        <v>2452</v>
      </c>
      <c r="K2193" t="s">
        <v>2572</v>
      </c>
      <c r="M2193" t="s">
        <v>2631</v>
      </c>
    </row>
    <row r="2194" spans="1:13">
      <c r="A2194" s="1">
        <f>HYPERLINK("https://lsnyc.legalserver.org/matter/dynamic-profile/view/1863882","18-1863882")</f>
        <v>0</v>
      </c>
      <c r="B2194" t="s">
        <v>16</v>
      </c>
      <c r="C2194" t="s">
        <v>23</v>
      </c>
      <c r="D2194" t="s">
        <v>1740</v>
      </c>
      <c r="E2194" t="s">
        <v>2406</v>
      </c>
      <c r="F2194" t="s">
        <v>2437</v>
      </c>
      <c r="I2194" t="s">
        <v>2446</v>
      </c>
      <c r="J2194" t="s">
        <v>2457</v>
      </c>
      <c r="K2194" t="s">
        <v>2569</v>
      </c>
      <c r="M2194" t="s">
        <v>2642</v>
      </c>
    </row>
    <row r="2195" spans="1:13">
      <c r="A2195" s="1">
        <f>HYPERLINK("https://lsnyc.legalserver.org/matter/dynamic-profile/view/1863888","18-1863888")</f>
        <v>0</v>
      </c>
      <c r="B2195" t="s">
        <v>16</v>
      </c>
      <c r="C2195" t="s">
        <v>23</v>
      </c>
      <c r="D2195" t="s">
        <v>1741</v>
      </c>
      <c r="E2195" t="s">
        <v>2375</v>
      </c>
      <c r="F2195" t="s">
        <v>2437</v>
      </c>
      <c r="I2195" t="s">
        <v>2446</v>
      </c>
      <c r="J2195" t="s">
        <v>2457</v>
      </c>
      <c r="K2195" t="s">
        <v>2569</v>
      </c>
      <c r="M2195" t="s">
        <v>2617</v>
      </c>
    </row>
    <row r="2196" spans="1:13">
      <c r="A2196" s="1">
        <f>HYPERLINK("https://lsnyc.legalserver.org/matter/dynamic-profile/view/1863892","18-1863892")</f>
        <v>0</v>
      </c>
      <c r="B2196" t="s">
        <v>16</v>
      </c>
      <c r="C2196" t="s">
        <v>23</v>
      </c>
      <c r="D2196" t="s">
        <v>1569</v>
      </c>
      <c r="E2196" t="s">
        <v>2406</v>
      </c>
      <c r="F2196" t="s">
        <v>2437</v>
      </c>
      <c r="I2196" t="s">
        <v>2446</v>
      </c>
      <c r="J2196" t="s">
        <v>2463</v>
      </c>
      <c r="K2196" t="s">
        <v>2572</v>
      </c>
      <c r="M2196" t="s">
        <v>2642</v>
      </c>
    </row>
    <row r="2197" spans="1:13">
      <c r="A2197" s="1">
        <f>HYPERLINK("https://lsnyc.legalserver.org/matter/dynamic-profile/view/1863893","18-1863893")</f>
        <v>0</v>
      </c>
      <c r="B2197" t="s">
        <v>16</v>
      </c>
      <c r="C2197" t="s">
        <v>23</v>
      </c>
      <c r="D2197" t="s">
        <v>1546</v>
      </c>
      <c r="E2197" t="s">
        <v>2406</v>
      </c>
      <c r="F2197" t="s">
        <v>2437</v>
      </c>
      <c r="I2197" t="s">
        <v>2446</v>
      </c>
      <c r="J2197" t="s">
        <v>2457</v>
      </c>
      <c r="K2197" t="s">
        <v>2569</v>
      </c>
      <c r="L2197" t="s">
        <v>2600</v>
      </c>
      <c r="M2197" t="s">
        <v>2642</v>
      </c>
    </row>
    <row r="2198" spans="1:13">
      <c r="A2198" s="1">
        <f>HYPERLINK("https://lsnyc.legalserver.org/matter/dynamic-profile/view/1863895","18-1863895")</f>
        <v>0</v>
      </c>
      <c r="B2198" t="s">
        <v>16</v>
      </c>
      <c r="C2198" t="s">
        <v>23</v>
      </c>
      <c r="D2198" t="s">
        <v>1538</v>
      </c>
      <c r="E2198" t="s">
        <v>2406</v>
      </c>
      <c r="F2198" t="s">
        <v>2437</v>
      </c>
      <c r="I2198" t="s">
        <v>2446</v>
      </c>
      <c r="J2198" t="s">
        <v>2447</v>
      </c>
      <c r="M2198" t="s">
        <v>2642</v>
      </c>
    </row>
    <row r="2199" spans="1:13">
      <c r="A2199" s="1">
        <f>HYPERLINK("https://lsnyc.legalserver.org/matter/dynamic-profile/view/1863669","18-1863669")</f>
        <v>0</v>
      </c>
      <c r="B2199" t="s">
        <v>19</v>
      </c>
      <c r="C2199" t="s">
        <v>27</v>
      </c>
      <c r="D2199" t="s">
        <v>1742</v>
      </c>
      <c r="F2199" t="s">
        <v>2439</v>
      </c>
      <c r="J2199" t="s">
        <v>2447</v>
      </c>
      <c r="K2199" t="s">
        <v>2569</v>
      </c>
      <c r="L2199" t="s">
        <v>2602</v>
      </c>
      <c r="M2199" t="s">
        <v>2631</v>
      </c>
    </row>
    <row r="2200" spans="1:13">
      <c r="A2200" s="1">
        <f>HYPERLINK("https://lsnyc.legalserver.org/matter/dynamic-profile/view/1863735","18-1863735")</f>
        <v>0</v>
      </c>
      <c r="B2200" t="s">
        <v>19</v>
      </c>
      <c r="C2200" t="s">
        <v>27</v>
      </c>
      <c r="D2200" t="s">
        <v>1743</v>
      </c>
      <c r="F2200" t="s">
        <v>2439</v>
      </c>
      <c r="J2200" t="s">
        <v>2448</v>
      </c>
      <c r="K2200" t="s">
        <v>2569</v>
      </c>
      <c r="L2200" t="s">
        <v>2602</v>
      </c>
      <c r="M2200" t="s">
        <v>2631</v>
      </c>
    </row>
    <row r="2201" spans="1:13">
      <c r="A2201" s="1">
        <f>HYPERLINK("https://lsnyc.legalserver.org/matter/dynamic-profile/view/1863671","18-1863671")</f>
        <v>0</v>
      </c>
      <c r="B2201" t="s">
        <v>19</v>
      </c>
      <c r="C2201" t="s">
        <v>38</v>
      </c>
      <c r="D2201" t="s">
        <v>1744</v>
      </c>
      <c r="E2201" t="s">
        <v>2381</v>
      </c>
      <c r="F2201" t="s">
        <v>2437</v>
      </c>
      <c r="I2201" t="s">
        <v>2446</v>
      </c>
      <c r="J2201" t="s">
        <v>2471</v>
      </c>
      <c r="K2201" t="s">
        <v>2572</v>
      </c>
      <c r="L2201" t="s">
        <v>2600</v>
      </c>
      <c r="M2201" t="s">
        <v>2622</v>
      </c>
    </row>
    <row r="2202" spans="1:13">
      <c r="A2202" s="1">
        <f>HYPERLINK("https://lsnyc.legalserver.org/matter/dynamic-profile/view/1863676","18-1863676")</f>
        <v>0</v>
      </c>
      <c r="B2202" t="s">
        <v>18</v>
      </c>
      <c r="C2202" t="s">
        <v>34</v>
      </c>
      <c r="D2202" t="s">
        <v>1398</v>
      </c>
      <c r="E2202" t="s">
        <v>2383</v>
      </c>
      <c r="F2202" t="s">
        <v>2437</v>
      </c>
      <c r="I2202" t="s">
        <v>2446</v>
      </c>
      <c r="J2202" t="s">
        <v>2518</v>
      </c>
      <c r="K2202" t="s">
        <v>2582</v>
      </c>
      <c r="L2202" t="s">
        <v>2603</v>
      </c>
      <c r="M2202" t="s">
        <v>2624</v>
      </c>
    </row>
    <row r="2203" spans="1:13">
      <c r="A2203" s="1">
        <f>HYPERLINK("https://lsnyc.legalserver.org/matter/dynamic-profile/view/1863665","18-1863665")</f>
        <v>0</v>
      </c>
      <c r="B2203" t="s">
        <v>19</v>
      </c>
      <c r="C2203" t="s">
        <v>38</v>
      </c>
      <c r="D2203" t="s">
        <v>1630</v>
      </c>
      <c r="E2203" t="s">
        <v>2394</v>
      </c>
      <c r="F2203" t="s">
        <v>2437</v>
      </c>
      <c r="H2203" t="s">
        <v>2445</v>
      </c>
      <c r="J2203" t="s">
        <v>2455</v>
      </c>
      <c r="K2203" t="s">
        <v>2569</v>
      </c>
      <c r="L2203" t="s">
        <v>2605</v>
      </c>
      <c r="M2203" t="s">
        <v>2627</v>
      </c>
    </row>
    <row r="2204" spans="1:13">
      <c r="A2204" s="1">
        <f>HYPERLINK("https://lsnyc.legalserver.org/matter/dynamic-profile/view/1863632","18-1863632")</f>
        <v>0</v>
      </c>
      <c r="B2204" t="s">
        <v>19</v>
      </c>
      <c r="C2204" t="s">
        <v>47</v>
      </c>
      <c r="D2204" t="s">
        <v>1745</v>
      </c>
      <c r="E2204" t="s">
        <v>2383</v>
      </c>
      <c r="F2204" t="s">
        <v>2439</v>
      </c>
      <c r="I2204" t="s">
        <v>2446</v>
      </c>
      <c r="J2204" t="s">
        <v>2457</v>
      </c>
      <c r="K2204" t="s">
        <v>2572</v>
      </c>
      <c r="M2204" t="s">
        <v>2631</v>
      </c>
    </row>
    <row r="2205" spans="1:13">
      <c r="A2205" s="1">
        <f>HYPERLINK("https://lsnyc.legalserver.org/matter/dynamic-profile/view/1863683","18-1863683")</f>
        <v>0</v>
      </c>
      <c r="B2205" t="s">
        <v>18</v>
      </c>
      <c r="C2205" t="s">
        <v>34</v>
      </c>
      <c r="D2205" t="s">
        <v>1399</v>
      </c>
      <c r="E2205" t="s">
        <v>2383</v>
      </c>
      <c r="F2205" t="s">
        <v>2437</v>
      </c>
      <c r="I2205" t="s">
        <v>2446</v>
      </c>
      <c r="J2205" t="s">
        <v>2518</v>
      </c>
      <c r="K2205" t="s">
        <v>2596</v>
      </c>
      <c r="L2205" t="s">
        <v>2600</v>
      </c>
      <c r="M2205" t="s">
        <v>2624</v>
      </c>
    </row>
    <row r="2206" spans="1:13">
      <c r="A2206" s="1">
        <f>HYPERLINK("https://lsnyc.legalserver.org/matter/dynamic-profile/view/1863688","18-1863688")</f>
        <v>0</v>
      </c>
      <c r="B2206" t="s">
        <v>18</v>
      </c>
      <c r="C2206" t="s">
        <v>34</v>
      </c>
      <c r="D2206" t="s">
        <v>1400</v>
      </c>
      <c r="E2206" t="s">
        <v>2383</v>
      </c>
      <c r="F2206" t="s">
        <v>2437</v>
      </c>
      <c r="I2206" t="s">
        <v>2446</v>
      </c>
      <c r="J2206" t="s">
        <v>2518</v>
      </c>
      <c r="K2206" t="s">
        <v>2582</v>
      </c>
      <c r="L2206" t="s">
        <v>2600</v>
      </c>
      <c r="M2206" t="s">
        <v>2624</v>
      </c>
    </row>
    <row r="2207" spans="1:13">
      <c r="A2207" s="1">
        <f>HYPERLINK("https://lsnyc.legalserver.org/matter/dynamic-profile/view/1863734","18-1863734")</f>
        <v>0</v>
      </c>
      <c r="B2207" t="s">
        <v>19</v>
      </c>
      <c r="C2207" t="s">
        <v>50</v>
      </c>
      <c r="D2207" t="s">
        <v>351</v>
      </c>
      <c r="E2207" t="s">
        <v>2385</v>
      </c>
      <c r="F2207" t="s">
        <v>2438</v>
      </c>
      <c r="I2207" t="s">
        <v>2446</v>
      </c>
      <c r="J2207" t="s">
        <v>2465</v>
      </c>
      <c r="K2207" t="s">
        <v>2569</v>
      </c>
      <c r="L2207" t="s">
        <v>2600</v>
      </c>
      <c r="M2207" t="s">
        <v>2616</v>
      </c>
    </row>
    <row r="2208" spans="1:13">
      <c r="A2208" s="1">
        <f>HYPERLINK("https://lsnyc.legalserver.org/matter/dynamic-profile/view/1863535","18-1863535")</f>
        <v>0</v>
      </c>
      <c r="B2208" t="s">
        <v>18</v>
      </c>
      <c r="C2208" t="s">
        <v>35</v>
      </c>
      <c r="D2208" t="s">
        <v>1746</v>
      </c>
      <c r="F2208" t="s">
        <v>2439</v>
      </c>
      <c r="J2208" t="s">
        <v>2464</v>
      </c>
      <c r="K2208" t="s">
        <v>2572</v>
      </c>
      <c r="L2208" t="s">
        <v>2602</v>
      </c>
      <c r="M2208" t="s">
        <v>2631</v>
      </c>
    </row>
    <row r="2209" spans="1:13">
      <c r="A2209" s="1">
        <f>HYPERLINK("https://lsnyc.legalserver.org/matter/dynamic-profile/view/1863511","18-1863511")</f>
        <v>0</v>
      </c>
      <c r="B2209" t="s">
        <v>16</v>
      </c>
      <c r="C2209" t="s">
        <v>23</v>
      </c>
      <c r="D2209" t="s">
        <v>1747</v>
      </c>
      <c r="E2209" t="s">
        <v>2375</v>
      </c>
      <c r="F2209" t="s">
        <v>2437</v>
      </c>
      <c r="I2209" t="s">
        <v>2446</v>
      </c>
      <c r="J2209" t="s">
        <v>2457</v>
      </c>
      <c r="K2209" t="s">
        <v>2569</v>
      </c>
      <c r="L2209" t="s">
        <v>2604</v>
      </c>
      <c r="M2209" t="s">
        <v>2617</v>
      </c>
    </row>
    <row r="2210" spans="1:13">
      <c r="A2210" s="1">
        <f>HYPERLINK("https://lsnyc.legalserver.org/matter/dynamic-profile/view/1863514","18-1863514")</f>
        <v>0</v>
      </c>
      <c r="B2210" t="s">
        <v>18</v>
      </c>
      <c r="C2210" t="s">
        <v>35</v>
      </c>
      <c r="D2210" t="s">
        <v>997</v>
      </c>
      <c r="E2210" t="s">
        <v>2374</v>
      </c>
      <c r="F2210" t="s">
        <v>2438</v>
      </c>
      <c r="I2210" t="s">
        <v>2446</v>
      </c>
      <c r="J2210" t="s">
        <v>2452</v>
      </c>
      <c r="K2210" t="s">
        <v>2572</v>
      </c>
      <c r="M2210" t="s">
        <v>2616</v>
      </c>
    </row>
    <row r="2211" spans="1:13">
      <c r="A2211" s="1">
        <f>HYPERLINK("https://lsnyc.legalserver.org/matter/dynamic-profile/view/1863550","18-1863550")</f>
        <v>0</v>
      </c>
      <c r="B2211" t="s">
        <v>16</v>
      </c>
      <c r="C2211" t="s">
        <v>23</v>
      </c>
      <c r="D2211" t="s">
        <v>1748</v>
      </c>
      <c r="E2211" t="s">
        <v>2390</v>
      </c>
      <c r="F2211" t="s">
        <v>2437</v>
      </c>
      <c r="I2211" t="s">
        <v>2446</v>
      </c>
      <c r="J2211" t="s">
        <v>2489</v>
      </c>
      <c r="K2211" t="s">
        <v>2572</v>
      </c>
      <c r="M2211" t="s">
        <v>2619</v>
      </c>
    </row>
    <row r="2212" spans="1:13">
      <c r="A2212" s="1">
        <f>HYPERLINK("https://lsnyc.legalserver.org/matter/dynamic-profile/view/1863561","18-1863561")</f>
        <v>0</v>
      </c>
      <c r="B2212" t="s">
        <v>16</v>
      </c>
      <c r="C2212" t="s">
        <v>23</v>
      </c>
      <c r="D2212" t="s">
        <v>1749</v>
      </c>
      <c r="E2212" t="s">
        <v>2390</v>
      </c>
      <c r="F2212" t="s">
        <v>2437</v>
      </c>
      <c r="I2212" t="s">
        <v>2446</v>
      </c>
      <c r="J2212" t="s">
        <v>2474</v>
      </c>
      <c r="K2212" t="s">
        <v>2572</v>
      </c>
      <c r="M2212" t="s">
        <v>2619</v>
      </c>
    </row>
    <row r="2213" spans="1:13">
      <c r="A2213" s="1">
        <f>HYPERLINK("https://lsnyc.legalserver.org/matter/dynamic-profile/view/1863582","18-1863582")</f>
        <v>0</v>
      </c>
      <c r="B2213" t="s">
        <v>16</v>
      </c>
      <c r="C2213" t="s">
        <v>23</v>
      </c>
      <c r="D2213" t="s">
        <v>1445</v>
      </c>
      <c r="E2213" t="s">
        <v>2390</v>
      </c>
      <c r="F2213" t="s">
        <v>2437</v>
      </c>
      <c r="I2213" t="s">
        <v>2446</v>
      </c>
      <c r="J2213" t="s">
        <v>2461</v>
      </c>
      <c r="K2213" t="s">
        <v>2592</v>
      </c>
      <c r="M2213" t="s">
        <v>2619</v>
      </c>
    </row>
    <row r="2214" spans="1:13">
      <c r="A2214" s="1">
        <f>HYPERLINK("https://lsnyc.legalserver.org/matter/dynamic-profile/view/1863585","18-1863585")</f>
        <v>0</v>
      </c>
      <c r="B2214" t="s">
        <v>16</v>
      </c>
      <c r="C2214" t="s">
        <v>23</v>
      </c>
      <c r="D2214" t="s">
        <v>1750</v>
      </c>
      <c r="E2214" t="s">
        <v>2394</v>
      </c>
      <c r="F2214" t="s">
        <v>2438</v>
      </c>
      <c r="I2214" t="s">
        <v>2446</v>
      </c>
      <c r="J2214" t="s">
        <v>2452</v>
      </c>
      <c r="K2214" t="s">
        <v>2572</v>
      </c>
      <c r="M2214" t="s">
        <v>2627</v>
      </c>
    </row>
    <row r="2215" spans="1:13">
      <c r="A2215" s="1">
        <f>HYPERLINK("https://lsnyc.legalserver.org/matter/dynamic-profile/view/1863586","18-1863586")</f>
        <v>0</v>
      </c>
      <c r="B2215" t="s">
        <v>16</v>
      </c>
      <c r="C2215" t="s">
        <v>23</v>
      </c>
      <c r="D2215" t="s">
        <v>1585</v>
      </c>
      <c r="E2215" t="s">
        <v>2387</v>
      </c>
      <c r="F2215" t="s">
        <v>2437</v>
      </c>
      <c r="I2215" t="s">
        <v>2446</v>
      </c>
      <c r="J2215" t="s">
        <v>2455</v>
      </c>
      <c r="K2215" t="s">
        <v>2569</v>
      </c>
      <c r="M2215" t="s">
        <v>2629</v>
      </c>
    </row>
    <row r="2216" spans="1:13">
      <c r="A2216" s="1">
        <f>HYPERLINK("https://lsnyc.legalserver.org/matter/dynamic-profile/view/1863596","18-1863596")</f>
        <v>0</v>
      </c>
      <c r="B2216" t="s">
        <v>16</v>
      </c>
      <c r="C2216" t="s">
        <v>23</v>
      </c>
      <c r="D2216" t="s">
        <v>1751</v>
      </c>
      <c r="E2216" t="s">
        <v>2375</v>
      </c>
      <c r="F2216" t="s">
        <v>2437</v>
      </c>
      <c r="I2216" t="s">
        <v>2446</v>
      </c>
      <c r="J2216" t="s">
        <v>2473</v>
      </c>
      <c r="K2216" t="s">
        <v>2572</v>
      </c>
      <c r="M2216" t="s">
        <v>2617</v>
      </c>
    </row>
    <row r="2217" spans="1:13">
      <c r="A2217" s="1">
        <f>HYPERLINK("https://lsnyc.legalserver.org/matter/dynamic-profile/view/1863427","18-1863427")</f>
        <v>0</v>
      </c>
      <c r="B2217" t="s">
        <v>18</v>
      </c>
      <c r="C2217" t="s">
        <v>35</v>
      </c>
      <c r="D2217" t="s">
        <v>1752</v>
      </c>
      <c r="E2217" t="s">
        <v>2394</v>
      </c>
      <c r="F2217" t="s">
        <v>2439</v>
      </c>
      <c r="J2217" t="s">
        <v>2555</v>
      </c>
      <c r="K2217" t="s">
        <v>2569</v>
      </c>
      <c r="L2217" t="s">
        <v>2602</v>
      </c>
      <c r="M2217" t="s">
        <v>2631</v>
      </c>
    </row>
    <row r="2218" spans="1:13">
      <c r="A2218" s="1">
        <f>HYPERLINK("https://lsnyc.legalserver.org/matter/dynamic-profile/view/1863378","18-1863378")</f>
        <v>0</v>
      </c>
      <c r="B2218" t="s">
        <v>19</v>
      </c>
      <c r="C2218" t="s">
        <v>38</v>
      </c>
      <c r="D2218" t="s">
        <v>1420</v>
      </c>
      <c r="E2218" t="s">
        <v>2412</v>
      </c>
      <c r="F2218" t="s">
        <v>2440</v>
      </c>
      <c r="I2218" t="s">
        <v>2446</v>
      </c>
      <c r="J2218" t="s">
        <v>2500</v>
      </c>
      <c r="K2218" t="s">
        <v>2572</v>
      </c>
      <c r="L2218" t="s">
        <v>2601</v>
      </c>
      <c r="M2218" t="s">
        <v>2631</v>
      </c>
    </row>
    <row r="2219" spans="1:13">
      <c r="A2219" s="1">
        <f>HYPERLINK("https://lsnyc.legalserver.org/matter/dynamic-profile/view/1863349","18-1863349")</f>
        <v>0</v>
      </c>
      <c r="B2219" t="s">
        <v>17</v>
      </c>
      <c r="C2219" t="s">
        <v>36</v>
      </c>
      <c r="D2219" t="s">
        <v>809</v>
      </c>
      <c r="E2219" t="s">
        <v>2374</v>
      </c>
      <c r="F2219" t="s">
        <v>2438</v>
      </c>
      <c r="I2219" t="s">
        <v>2446</v>
      </c>
      <c r="J2219" t="s">
        <v>2447</v>
      </c>
      <c r="K2219" t="s">
        <v>2569</v>
      </c>
      <c r="M2219" t="s">
        <v>2616</v>
      </c>
    </row>
    <row r="2220" spans="1:13">
      <c r="A2220" s="1">
        <f>HYPERLINK("https://lsnyc.legalserver.org/matter/dynamic-profile/view/1863445","18-1863445")</f>
        <v>0</v>
      </c>
      <c r="B2220" t="s">
        <v>16</v>
      </c>
      <c r="C2220" t="s">
        <v>23</v>
      </c>
      <c r="D2220" t="s">
        <v>1753</v>
      </c>
      <c r="E2220" t="s">
        <v>2390</v>
      </c>
      <c r="F2220" t="s">
        <v>2437</v>
      </c>
      <c r="I2220" t="s">
        <v>2446</v>
      </c>
      <c r="J2220" t="s">
        <v>2468</v>
      </c>
      <c r="K2220" t="s">
        <v>2569</v>
      </c>
      <c r="M2220" t="s">
        <v>2626</v>
      </c>
    </row>
    <row r="2221" spans="1:13">
      <c r="A2221" s="1">
        <f>HYPERLINK("https://lsnyc.legalserver.org/matter/dynamic-profile/view/1863446","18-1863446")</f>
        <v>0</v>
      </c>
      <c r="B2221" t="s">
        <v>16</v>
      </c>
      <c r="C2221" t="s">
        <v>23</v>
      </c>
      <c r="D2221" t="s">
        <v>1754</v>
      </c>
      <c r="E2221" t="s">
        <v>2390</v>
      </c>
      <c r="F2221" t="s">
        <v>2437</v>
      </c>
      <c r="I2221" t="s">
        <v>2446</v>
      </c>
      <c r="J2221" t="s">
        <v>2448</v>
      </c>
      <c r="K2221" t="s">
        <v>2569</v>
      </c>
      <c r="M2221" t="s">
        <v>2619</v>
      </c>
    </row>
    <row r="2222" spans="1:13">
      <c r="A2222" s="1">
        <f>HYPERLINK("https://lsnyc.legalserver.org/matter/dynamic-profile/view/1863502","18-1863502")</f>
        <v>0</v>
      </c>
      <c r="B2222" t="s">
        <v>16</v>
      </c>
      <c r="C2222" t="s">
        <v>23</v>
      </c>
      <c r="D2222" t="s">
        <v>1755</v>
      </c>
      <c r="E2222" t="s">
        <v>2386</v>
      </c>
      <c r="F2222" t="s">
        <v>2437</v>
      </c>
      <c r="I2222" t="s">
        <v>2446</v>
      </c>
      <c r="J2222" t="s">
        <v>2467</v>
      </c>
      <c r="K2222" t="s">
        <v>2572</v>
      </c>
      <c r="M2222" t="s">
        <v>2627</v>
      </c>
    </row>
    <row r="2223" spans="1:13">
      <c r="A2223" s="1">
        <f>HYPERLINK("https://lsnyc.legalserver.org/matter/dynamic-profile/view/1863242","18-1863242")</f>
        <v>0</v>
      </c>
      <c r="B2223" t="s">
        <v>19</v>
      </c>
      <c r="C2223" t="s">
        <v>23</v>
      </c>
      <c r="D2223" t="s">
        <v>1756</v>
      </c>
      <c r="E2223" t="s">
        <v>2390</v>
      </c>
      <c r="J2223" t="s">
        <v>2479</v>
      </c>
      <c r="K2223" t="s">
        <v>2572</v>
      </c>
      <c r="L2223" t="s">
        <v>2601</v>
      </c>
      <c r="M2223" t="s">
        <v>2631</v>
      </c>
    </row>
    <row r="2224" spans="1:13">
      <c r="A2224" s="1">
        <f>HYPERLINK("https://lsnyc.legalserver.org/matter/dynamic-profile/view/1863269","18-1863269")</f>
        <v>0</v>
      </c>
      <c r="B2224" t="s">
        <v>16</v>
      </c>
      <c r="C2224" t="s">
        <v>23</v>
      </c>
      <c r="D2224" t="s">
        <v>1757</v>
      </c>
      <c r="J2224" t="s">
        <v>2447</v>
      </c>
      <c r="K2224" t="s">
        <v>2569</v>
      </c>
      <c r="L2224" t="s">
        <v>2601</v>
      </c>
      <c r="M2224" t="s">
        <v>2631</v>
      </c>
    </row>
    <row r="2225" spans="1:14">
      <c r="A2225" s="1">
        <f>HYPERLINK("https://lsnyc.legalserver.org/matter/dynamic-profile/view/1863293","18-1863293")</f>
        <v>0</v>
      </c>
      <c r="B2225" t="s">
        <v>18</v>
      </c>
      <c r="C2225" t="s">
        <v>35</v>
      </c>
      <c r="D2225" t="s">
        <v>1758</v>
      </c>
      <c r="E2225" t="s">
        <v>2425</v>
      </c>
      <c r="F2225" t="s">
        <v>2439</v>
      </c>
      <c r="I2225" t="s">
        <v>2446</v>
      </c>
      <c r="J2225" t="s">
        <v>2488</v>
      </c>
      <c r="K2225" t="s">
        <v>2569</v>
      </c>
      <c r="L2225" t="s">
        <v>2601</v>
      </c>
      <c r="M2225" t="s">
        <v>2631</v>
      </c>
    </row>
    <row r="2226" spans="1:14">
      <c r="A2226" s="1">
        <f>HYPERLINK("https://lsnyc.legalserver.org/matter/dynamic-profile/view/1863343","18-1863343")</f>
        <v>0</v>
      </c>
      <c r="B2226" t="s">
        <v>16</v>
      </c>
      <c r="C2226" t="s">
        <v>23</v>
      </c>
      <c r="D2226" t="s">
        <v>1759</v>
      </c>
      <c r="E2226" t="s">
        <v>2390</v>
      </c>
      <c r="F2226" t="s">
        <v>2437</v>
      </c>
      <c r="I2226" t="s">
        <v>2446</v>
      </c>
      <c r="J2226" t="s">
        <v>2448</v>
      </c>
      <c r="K2226" t="s">
        <v>2569</v>
      </c>
      <c r="L2226" t="s">
        <v>2601</v>
      </c>
      <c r="M2226" t="s">
        <v>2631</v>
      </c>
    </row>
    <row r="2227" spans="1:14">
      <c r="A2227" s="1">
        <f>HYPERLINK("https://lsnyc.legalserver.org/matter/dynamic-profile/view/1851360","17-1851360")</f>
        <v>0</v>
      </c>
      <c r="B2227" t="s">
        <v>16</v>
      </c>
      <c r="C2227" t="s">
        <v>23</v>
      </c>
      <c r="D2227" t="s">
        <v>1760</v>
      </c>
      <c r="E2227" t="s">
        <v>2393</v>
      </c>
      <c r="F2227" t="s">
        <v>2437</v>
      </c>
      <c r="I2227" t="s">
        <v>2446</v>
      </c>
      <c r="J2227" t="s">
        <v>2489</v>
      </c>
      <c r="K2227" t="s">
        <v>2572</v>
      </c>
      <c r="M2227" t="s">
        <v>2637</v>
      </c>
    </row>
    <row r="2228" spans="1:14">
      <c r="A2228" s="1">
        <f>HYPERLINK("https://lsnyc.legalserver.org/matter/dynamic-profile/view/1859554","18-1859554")</f>
        <v>0</v>
      </c>
      <c r="B2228" t="s">
        <v>17</v>
      </c>
      <c r="C2228" t="s">
        <v>42</v>
      </c>
      <c r="D2228" t="s">
        <v>1146</v>
      </c>
      <c r="E2228" t="s">
        <v>2387</v>
      </c>
      <c r="F2228" t="s">
        <v>2437</v>
      </c>
      <c r="I2228" t="s">
        <v>2446</v>
      </c>
      <c r="J2228" t="s">
        <v>2457</v>
      </c>
      <c r="K2228" t="s">
        <v>2569</v>
      </c>
      <c r="L2228" t="s">
        <v>2600</v>
      </c>
      <c r="M2228" t="s">
        <v>2629</v>
      </c>
    </row>
    <row r="2229" spans="1:14">
      <c r="A2229" s="1">
        <f>HYPERLINK("https://lsnyc.legalserver.org/matter/dynamic-profile/view/1863262","18-1863262")</f>
        <v>0</v>
      </c>
      <c r="B2229" t="s">
        <v>15</v>
      </c>
      <c r="C2229" t="s">
        <v>49</v>
      </c>
      <c r="D2229" t="s">
        <v>1761</v>
      </c>
      <c r="E2229" t="s">
        <v>2390</v>
      </c>
      <c r="F2229" t="s">
        <v>2437</v>
      </c>
      <c r="J2229" t="s">
        <v>2467</v>
      </c>
      <c r="K2229" t="s">
        <v>2572</v>
      </c>
      <c r="M2229" t="s">
        <v>2619</v>
      </c>
    </row>
    <row r="2230" spans="1:14">
      <c r="A2230" s="1">
        <f>HYPERLINK("https://lsnyc.legalserver.org/matter/dynamic-profile/view/1863171","18-1863171")</f>
        <v>0</v>
      </c>
      <c r="B2230" t="s">
        <v>14</v>
      </c>
      <c r="C2230" t="s">
        <v>20</v>
      </c>
      <c r="D2230" t="s">
        <v>1762</v>
      </c>
      <c r="E2230" t="s">
        <v>2403</v>
      </c>
      <c r="F2230" t="s">
        <v>2441</v>
      </c>
      <c r="I2230" t="s">
        <v>2446</v>
      </c>
      <c r="J2230" t="s">
        <v>2450</v>
      </c>
      <c r="K2230" t="s">
        <v>2569</v>
      </c>
      <c r="L2230" t="s">
        <v>2603</v>
      </c>
      <c r="M2230" t="s">
        <v>2639</v>
      </c>
    </row>
    <row r="2231" spans="1:14">
      <c r="A2231" s="1">
        <f>HYPERLINK("https://lsnyc.legalserver.org/matter/dynamic-profile/view/1863123","18-1863123")</f>
        <v>0</v>
      </c>
      <c r="B2231" t="s">
        <v>18</v>
      </c>
      <c r="C2231" t="s">
        <v>34</v>
      </c>
      <c r="D2231" t="s">
        <v>1763</v>
      </c>
      <c r="E2231" t="s">
        <v>2381</v>
      </c>
      <c r="F2231" t="s">
        <v>2437</v>
      </c>
      <c r="I2231" t="s">
        <v>2446</v>
      </c>
      <c r="J2231" t="s">
        <v>2462</v>
      </c>
      <c r="K2231" t="s">
        <v>2572</v>
      </c>
      <c r="L2231" t="s">
        <v>2600</v>
      </c>
      <c r="M2231" t="s">
        <v>2631</v>
      </c>
    </row>
    <row r="2232" spans="1:14">
      <c r="A2232" s="1">
        <f>HYPERLINK("https://lsnyc.legalserver.org/matter/dynamic-profile/view/1862992","18-1862992")</f>
        <v>0</v>
      </c>
      <c r="B2232" t="s">
        <v>16</v>
      </c>
      <c r="C2232" t="s">
        <v>23</v>
      </c>
      <c r="D2232" t="s">
        <v>1764</v>
      </c>
      <c r="E2232" t="s">
        <v>2393</v>
      </c>
      <c r="F2232" t="s">
        <v>2437</v>
      </c>
      <c r="I2232" t="s">
        <v>2446</v>
      </c>
      <c r="J2232" t="s">
        <v>2467</v>
      </c>
      <c r="K2232" t="s">
        <v>2572</v>
      </c>
      <c r="L2232" t="s">
        <v>2600</v>
      </c>
      <c r="M2232" t="s">
        <v>2637</v>
      </c>
    </row>
    <row r="2233" spans="1:14">
      <c r="A2233" s="1">
        <f>HYPERLINK("https://lsnyc.legalserver.org/matter/dynamic-profile/view/1863035","18-1863035")</f>
        <v>0</v>
      </c>
      <c r="B2233" t="s">
        <v>16</v>
      </c>
      <c r="C2233" t="s">
        <v>49</v>
      </c>
      <c r="D2233" t="s">
        <v>1765</v>
      </c>
      <c r="E2233" t="s">
        <v>2390</v>
      </c>
      <c r="F2233" t="s">
        <v>2437</v>
      </c>
      <c r="I2233" t="s">
        <v>2446</v>
      </c>
      <c r="J2233" t="s">
        <v>2447</v>
      </c>
      <c r="K2233" t="s">
        <v>2569</v>
      </c>
      <c r="M2233" t="s">
        <v>2619</v>
      </c>
    </row>
    <row r="2234" spans="1:14">
      <c r="A2234" s="1">
        <f>HYPERLINK("https://lsnyc.legalserver.org/matter/dynamic-profile/view/1863361","18-1863361")</f>
        <v>0</v>
      </c>
      <c r="B2234" t="s">
        <v>17</v>
      </c>
      <c r="C2234" t="s">
        <v>42</v>
      </c>
      <c r="D2234" t="s">
        <v>1766</v>
      </c>
      <c r="E2234" t="s">
        <v>2372</v>
      </c>
      <c r="F2234" t="s">
        <v>2437</v>
      </c>
      <c r="I2234" t="s">
        <v>2446</v>
      </c>
      <c r="J2234" t="s">
        <v>2450</v>
      </c>
      <c r="K2234" t="s">
        <v>2569</v>
      </c>
      <c r="L2234" t="s">
        <v>2600</v>
      </c>
      <c r="M2234" t="s">
        <v>2613</v>
      </c>
    </row>
    <row r="2235" spans="1:14">
      <c r="A2235" s="1">
        <f>HYPERLINK("https://lsnyc.legalserver.org/matter/dynamic-profile/view/1863362","18-1863362")</f>
        <v>0</v>
      </c>
      <c r="B2235" t="s">
        <v>17</v>
      </c>
      <c r="C2235" t="s">
        <v>42</v>
      </c>
      <c r="D2235" t="s">
        <v>1766</v>
      </c>
      <c r="E2235" t="s">
        <v>2406</v>
      </c>
      <c r="F2235" t="s">
        <v>2437</v>
      </c>
      <c r="I2235" t="s">
        <v>2446</v>
      </c>
      <c r="J2235" t="s">
        <v>2450</v>
      </c>
      <c r="K2235" t="s">
        <v>2569</v>
      </c>
      <c r="L2235" t="s">
        <v>2600</v>
      </c>
      <c r="M2235" t="s">
        <v>2642</v>
      </c>
    </row>
    <row r="2236" spans="1:14">
      <c r="A2236" s="1">
        <f>HYPERLINK("https://lsnyc.legalserver.org/matter/dynamic-profile/view/1862903","18-1862903")</f>
        <v>0</v>
      </c>
      <c r="B2236" t="s">
        <v>16</v>
      </c>
      <c r="C2236" t="s">
        <v>23</v>
      </c>
      <c r="D2236" t="s">
        <v>1767</v>
      </c>
      <c r="J2236" t="s">
        <v>2457</v>
      </c>
      <c r="K2236" t="s">
        <v>2569</v>
      </c>
      <c r="L2236" t="s">
        <v>2601</v>
      </c>
      <c r="M2236" t="s">
        <v>2631</v>
      </c>
    </row>
    <row r="2237" spans="1:14">
      <c r="A2237" s="1">
        <f>HYPERLINK("https://lsnyc.legalserver.org/matter/dynamic-profile/view/1862932","18-1862932")</f>
        <v>0</v>
      </c>
      <c r="B2237" t="s">
        <v>16</v>
      </c>
      <c r="C2237" t="s">
        <v>23</v>
      </c>
      <c r="D2237" t="s">
        <v>1768</v>
      </c>
      <c r="E2237" t="s">
        <v>2375</v>
      </c>
      <c r="F2237" t="s">
        <v>2437</v>
      </c>
      <c r="I2237" t="s">
        <v>2446</v>
      </c>
      <c r="J2237" t="s">
        <v>2452</v>
      </c>
      <c r="K2237" t="s">
        <v>2572</v>
      </c>
      <c r="L2237" t="s">
        <v>2604</v>
      </c>
      <c r="M2237" t="s">
        <v>2617</v>
      </c>
    </row>
    <row r="2238" spans="1:14">
      <c r="A2238" s="1">
        <f>HYPERLINK("https://lsnyc.legalserver.org/matter/dynamic-profile/view/1862880","18-1862880")</f>
        <v>0</v>
      </c>
      <c r="B2238" t="s">
        <v>15</v>
      </c>
      <c r="C2238" t="s">
        <v>49</v>
      </c>
      <c r="D2238" t="s">
        <v>1769</v>
      </c>
      <c r="E2238" t="s">
        <v>2390</v>
      </c>
      <c r="F2238" t="s">
        <v>2437</v>
      </c>
      <c r="I2238" t="s">
        <v>2446</v>
      </c>
      <c r="J2238" t="s">
        <v>2467</v>
      </c>
      <c r="M2238" t="s">
        <v>2619</v>
      </c>
    </row>
    <row r="2239" spans="1:14">
      <c r="A2239" s="1">
        <f>HYPERLINK("https://lsnyc.legalserver.org/matter/dynamic-profile/view/1862913","18-1862913")</f>
        <v>0</v>
      </c>
      <c r="B2239" t="s">
        <v>14</v>
      </c>
      <c r="C2239" t="s">
        <v>21</v>
      </c>
      <c r="D2239" t="s">
        <v>295</v>
      </c>
      <c r="E2239" t="s">
        <v>2374</v>
      </c>
      <c r="F2239" t="s">
        <v>2438</v>
      </c>
      <c r="I2239" t="s">
        <v>2446</v>
      </c>
      <c r="J2239" t="s">
        <v>2484</v>
      </c>
      <c r="K2239" t="s">
        <v>2582</v>
      </c>
      <c r="M2239" t="s">
        <v>2616</v>
      </c>
      <c r="N2239" t="s">
        <v>2648</v>
      </c>
    </row>
    <row r="2240" spans="1:14">
      <c r="A2240" s="1">
        <f>HYPERLINK("https://lsnyc.legalserver.org/matter/dynamic-profile/view/1862936","18-1862936")</f>
        <v>0</v>
      </c>
      <c r="B2240" t="s">
        <v>19</v>
      </c>
      <c r="C2240" t="s">
        <v>38</v>
      </c>
      <c r="D2240" t="s">
        <v>1770</v>
      </c>
      <c r="E2240" t="s">
        <v>2383</v>
      </c>
      <c r="F2240" t="s">
        <v>2437</v>
      </c>
      <c r="J2240" t="s">
        <v>2462</v>
      </c>
      <c r="K2240" t="s">
        <v>2572</v>
      </c>
      <c r="L2240" t="s">
        <v>2600</v>
      </c>
      <c r="M2240" t="s">
        <v>2624</v>
      </c>
    </row>
    <row r="2241" spans="1:13">
      <c r="A2241" s="1">
        <f>HYPERLINK("https://lsnyc.legalserver.org/matter/dynamic-profile/view/1862939","18-1862939")</f>
        <v>0</v>
      </c>
      <c r="B2241" t="s">
        <v>19</v>
      </c>
      <c r="C2241" t="s">
        <v>38</v>
      </c>
      <c r="D2241" t="s">
        <v>1770</v>
      </c>
      <c r="E2241" t="s">
        <v>2376</v>
      </c>
      <c r="F2241" t="s">
        <v>2437</v>
      </c>
      <c r="J2241" t="s">
        <v>2462</v>
      </c>
      <c r="K2241" t="s">
        <v>2572</v>
      </c>
      <c r="L2241" t="s">
        <v>2600</v>
      </c>
      <c r="M2241" t="s">
        <v>2618</v>
      </c>
    </row>
    <row r="2242" spans="1:13">
      <c r="A2242" s="1">
        <f>HYPERLINK("https://lsnyc.legalserver.org/matter/dynamic-profile/view/1862941","18-1862941")</f>
        <v>0</v>
      </c>
      <c r="B2242" t="s">
        <v>19</v>
      </c>
      <c r="C2242" t="s">
        <v>38</v>
      </c>
      <c r="D2242" t="s">
        <v>1770</v>
      </c>
      <c r="E2242" t="s">
        <v>2411</v>
      </c>
      <c r="F2242" t="s">
        <v>2437</v>
      </c>
      <c r="I2242" t="s">
        <v>2446</v>
      </c>
      <c r="J2242" t="s">
        <v>2462</v>
      </c>
      <c r="K2242" t="s">
        <v>2572</v>
      </c>
      <c r="L2242" t="s">
        <v>2600</v>
      </c>
      <c r="M2242" t="s">
        <v>2627</v>
      </c>
    </row>
    <row r="2243" spans="1:13">
      <c r="A2243" s="1">
        <f>HYPERLINK("https://lsnyc.legalserver.org/matter/dynamic-profile/view/1862746","18-1862746")</f>
        <v>0</v>
      </c>
      <c r="B2243" t="s">
        <v>18</v>
      </c>
      <c r="C2243" t="s">
        <v>34</v>
      </c>
      <c r="D2243" t="s">
        <v>1771</v>
      </c>
      <c r="E2243" t="s">
        <v>2394</v>
      </c>
      <c r="J2243" t="s">
        <v>2456</v>
      </c>
      <c r="K2243" t="s">
        <v>2572</v>
      </c>
      <c r="L2243" t="s">
        <v>2601</v>
      </c>
      <c r="M2243" t="s">
        <v>2631</v>
      </c>
    </row>
    <row r="2244" spans="1:13">
      <c r="A2244" s="1">
        <f>HYPERLINK("https://lsnyc.legalserver.org/matter/dynamic-profile/view/1862674","18-1862674")</f>
        <v>0</v>
      </c>
      <c r="B2244" t="s">
        <v>18</v>
      </c>
      <c r="C2244" t="s">
        <v>35</v>
      </c>
      <c r="D2244" t="s">
        <v>802</v>
      </c>
      <c r="E2244" t="s">
        <v>2374</v>
      </c>
      <c r="F2244" t="s">
        <v>2438</v>
      </c>
      <c r="I2244" t="s">
        <v>2446</v>
      </c>
      <c r="J2244" t="s">
        <v>2477</v>
      </c>
      <c r="K2244" t="s">
        <v>2569</v>
      </c>
      <c r="L2244" t="s">
        <v>2600</v>
      </c>
      <c r="M2244" t="s">
        <v>2616</v>
      </c>
    </row>
    <row r="2245" spans="1:13">
      <c r="A2245" s="1">
        <f>HYPERLINK("https://lsnyc.legalserver.org/matter/dynamic-profile/view/1862547","18-1862547")</f>
        <v>0</v>
      </c>
      <c r="B2245" t="s">
        <v>14</v>
      </c>
      <c r="C2245" t="s">
        <v>26</v>
      </c>
      <c r="D2245" t="s">
        <v>1772</v>
      </c>
      <c r="I2245" t="s">
        <v>2446</v>
      </c>
      <c r="J2245" t="s">
        <v>2450</v>
      </c>
      <c r="K2245" t="s">
        <v>2569</v>
      </c>
      <c r="L2245" t="s">
        <v>2601</v>
      </c>
      <c r="M2245" t="s">
        <v>2631</v>
      </c>
    </row>
    <row r="2246" spans="1:13">
      <c r="A2246" s="1">
        <f>HYPERLINK("https://lsnyc.legalserver.org/matter/dynamic-profile/view/1862604","18-1862604")</f>
        <v>0</v>
      </c>
      <c r="B2246" t="s">
        <v>18</v>
      </c>
      <c r="C2246" t="s">
        <v>34</v>
      </c>
      <c r="D2246" t="s">
        <v>1773</v>
      </c>
      <c r="E2246" t="s">
        <v>2386</v>
      </c>
      <c r="F2246" t="s">
        <v>2437</v>
      </c>
      <c r="I2246" t="s">
        <v>2446</v>
      </c>
      <c r="J2246" t="s">
        <v>2448</v>
      </c>
      <c r="K2246" t="s">
        <v>2572</v>
      </c>
      <c r="L2246" t="s">
        <v>2603</v>
      </c>
      <c r="M2246" t="s">
        <v>2627</v>
      </c>
    </row>
    <row r="2247" spans="1:13">
      <c r="A2247" s="1">
        <f>HYPERLINK("https://lsnyc.legalserver.org/matter/dynamic-profile/view/1862653","18-1862653")</f>
        <v>0</v>
      </c>
      <c r="B2247" t="s">
        <v>15</v>
      </c>
      <c r="C2247" t="s">
        <v>31</v>
      </c>
      <c r="D2247" t="s">
        <v>1774</v>
      </c>
      <c r="E2247" t="s">
        <v>2387</v>
      </c>
      <c r="F2247" t="s">
        <v>2437</v>
      </c>
      <c r="J2247" t="s">
        <v>2447</v>
      </c>
      <c r="K2247" t="s">
        <v>2569</v>
      </c>
      <c r="M2247" t="s">
        <v>2629</v>
      </c>
    </row>
    <row r="2248" spans="1:13">
      <c r="A2248" s="1">
        <f>HYPERLINK("https://lsnyc.legalserver.org/matter/dynamic-profile/view/1862665","18-1862665")</f>
        <v>0</v>
      </c>
      <c r="B2248" t="s">
        <v>16</v>
      </c>
      <c r="C2248" t="s">
        <v>23</v>
      </c>
      <c r="D2248" t="s">
        <v>1775</v>
      </c>
      <c r="E2248" t="s">
        <v>2374</v>
      </c>
      <c r="F2248" t="s">
        <v>2437</v>
      </c>
      <c r="I2248" t="s">
        <v>2446</v>
      </c>
      <c r="J2248" t="s">
        <v>2450</v>
      </c>
      <c r="K2248" t="s">
        <v>2569</v>
      </c>
      <c r="M2248" t="s">
        <v>2626</v>
      </c>
    </row>
    <row r="2249" spans="1:13">
      <c r="A2249" s="1">
        <f>HYPERLINK("https://lsnyc.legalserver.org/matter/dynamic-profile/view/1863166","18-1863166")</f>
        <v>0</v>
      </c>
      <c r="B2249" t="s">
        <v>16</v>
      </c>
      <c r="C2249" t="s">
        <v>23</v>
      </c>
      <c r="D2249" t="s">
        <v>1608</v>
      </c>
      <c r="E2249" t="s">
        <v>2370</v>
      </c>
      <c r="F2249" t="s">
        <v>2437</v>
      </c>
      <c r="I2249" t="s">
        <v>2446</v>
      </c>
      <c r="J2249" t="s">
        <v>2497</v>
      </c>
      <c r="K2249" t="s">
        <v>2585</v>
      </c>
      <c r="M2249" t="s">
        <v>2638</v>
      </c>
    </row>
    <row r="2250" spans="1:13">
      <c r="A2250" s="1">
        <f>HYPERLINK("https://lsnyc.legalserver.org/matter/dynamic-profile/view/1862507","18-1862507")</f>
        <v>0</v>
      </c>
      <c r="B2250" t="s">
        <v>15</v>
      </c>
      <c r="C2250" t="s">
        <v>37</v>
      </c>
      <c r="D2250" t="s">
        <v>1776</v>
      </c>
      <c r="E2250" t="s">
        <v>2383</v>
      </c>
      <c r="F2250" t="s">
        <v>2439</v>
      </c>
      <c r="I2250" t="s">
        <v>2446</v>
      </c>
      <c r="J2250" t="s">
        <v>2486</v>
      </c>
      <c r="K2250" t="s">
        <v>2577</v>
      </c>
      <c r="L2250" t="s">
        <v>2601</v>
      </c>
      <c r="M2250" t="s">
        <v>2631</v>
      </c>
    </row>
    <row r="2251" spans="1:13">
      <c r="A2251" s="1">
        <f>HYPERLINK("https://lsnyc.legalserver.org/matter/dynamic-profile/view/1862465","18-1862465")</f>
        <v>0</v>
      </c>
      <c r="B2251" t="s">
        <v>16</v>
      </c>
      <c r="C2251" t="s">
        <v>23</v>
      </c>
      <c r="D2251" t="s">
        <v>1777</v>
      </c>
      <c r="E2251" t="s">
        <v>2390</v>
      </c>
      <c r="K2251" t="s">
        <v>2569</v>
      </c>
      <c r="L2251" t="s">
        <v>2601</v>
      </c>
      <c r="M2251" t="s">
        <v>2631</v>
      </c>
    </row>
    <row r="2252" spans="1:13">
      <c r="A2252" s="1">
        <f>HYPERLINK("https://lsnyc.legalserver.org/matter/dynamic-profile/view/1862477","18-1862477")</f>
        <v>0</v>
      </c>
      <c r="B2252" t="s">
        <v>16</v>
      </c>
      <c r="C2252" t="s">
        <v>23</v>
      </c>
      <c r="D2252" t="s">
        <v>1778</v>
      </c>
      <c r="J2252" t="s">
        <v>2447</v>
      </c>
      <c r="K2252" t="s">
        <v>2569</v>
      </c>
      <c r="L2252" t="s">
        <v>2601</v>
      </c>
      <c r="M2252" t="s">
        <v>2631</v>
      </c>
    </row>
    <row r="2253" spans="1:13">
      <c r="A2253" s="1">
        <f>HYPERLINK("https://lsnyc.legalserver.org/matter/dynamic-profile/view/1862438","18-1862438")</f>
        <v>0</v>
      </c>
      <c r="B2253" t="s">
        <v>16</v>
      </c>
      <c r="C2253" t="s">
        <v>23</v>
      </c>
      <c r="D2253" t="s">
        <v>1625</v>
      </c>
      <c r="E2253" t="s">
        <v>2387</v>
      </c>
      <c r="F2253" t="s">
        <v>2437</v>
      </c>
      <c r="I2253" t="s">
        <v>2446</v>
      </c>
      <c r="J2253" t="s">
        <v>2457</v>
      </c>
      <c r="K2253" t="s">
        <v>2569</v>
      </c>
      <c r="M2253" t="s">
        <v>2629</v>
      </c>
    </row>
    <row r="2254" spans="1:13">
      <c r="A2254" s="1">
        <f>HYPERLINK("https://lsnyc.legalserver.org/matter/dynamic-profile/view/1862464","18-1862464")</f>
        <v>0</v>
      </c>
      <c r="B2254" t="s">
        <v>18</v>
      </c>
      <c r="C2254" t="s">
        <v>34</v>
      </c>
      <c r="D2254" t="s">
        <v>1779</v>
      </c>
      <c r="E2254" t="s">
        <v>2408</v>
      </c>
      <c r="F2254" t="s">
        <v>2437</v>
      </c>
      <c r="I2254" t="s">
        <v>2446</v>
      </c>
      <c r="J2254" t="s">
        <v>2453</v>
      </c>
      <c r="K2254" t="s">
        <v>2572</v>
      </c>
      <c r="M2254" t="s">
        <v>2619</v>
      </c>
    </row>
    <row r="2255" spans="1:13">
      <c r="A2255" s="1">
        <f>HYPERLINK("https://lsnyc.legalserver.org/matter/dynamic-profile/view/1862300","18-1862300")</f>
        <v>0</v>
      </c>
      <c r="B2255" t="s">
        <v>18</v>
      </c>
      <c r="C2255" t="s">
        <v>34</v>
      </c>
      <c r="D2255" t="s">
        <v>1780</v>
      </c>
      <c r="E2255" t="s">
        <v>2375</v>
      </c>
      <c r="F2255" t="s">
        <v>2439</v>
      </c>
      <c r="H2255" t="s">
        <v>2445</v>
      </c>
      <c r="J2255" t="s">
        <v>2530</v>
      </c>
      <c r="K2255" t="s">
        <v>2572</v>
      </c>
      <c r="L2255" t="s">
        <v>2602</v>
      </c>
      <c r="M2255" t="s">
        <v>2631</v>
      </c>
    </row>
    <row r="2256" spans="1:13">
      <c r="A2256" s="1">
        <f>HYPERLINK("https://lsnyc.legalserver.org/matter/dynamic-profile/view/1862360","18-1862360")</f>
        <v>0</v>
      </c>
      <c r="B2256" t="s">
        <v>15</v>
      </c>
      <c r="C2256" t="s">
        <v>37</v>
      </c>
      <c r="D2256" t="s">
        <v>1781</v>
      </c>
      <c r="E2256" t="s">
        <v>2376</v>
      </c>
      <c r="F2256" t="s">
        <v>2437</v>
      </c>
      <c r="I2256" t="s">
        <v>2446</v>
      </c>
      <c r="J2256" t="s">
        <v>2522</v>
      </c>
      <c r="K2256" t="s">
        <v>2578</v>
      </c>
      <c r="L2256" t="s">
        <v>2603</v>
      </c>
      <c r="M2256" t="s">
        <v>2626</v>
      </c>
    </row>
    <row r="2257" spans="1:14">
      <c r="A2257" s="1">
        <f>HYPERLINK("https://lsnyc.legalserver.org/matter/dynamic-profile/view/1862354","18-1862354")</f>
        <v>0</v>
      </c>
      <c r="B2257" t="s">
        <v>14</v>
      </c>
      <c r="C2257" t="s">
        <v>21</v>
      </c>
      <c r="D2257" t="s">
        <v>1782</v>
      </c>
      <c r="E2257" t="s">
        <v>2376</v>
      </c>
      <c r="F2257" t="s">
        <v>2437</v>
      </c>
      <c r="I2257" t="s">
        <v>2446</v>
      </c>
      <c r="J2257" t="s">
        <v>2447</v>
      </c>
      <c r="K2257" t="s">
        <v>2569</v>
      </c>
      <c r="L2257" t="s">
        <v>2600</v>
      </c>
      <c r="M2257" t="s">
        <v>2618</v>
      </c>
    </row>
    <row r="2258" spans="1:14">
      <c r="A2258" s="1">
        <f>HYPERLINK("https://lsnyc.legalserver.org/matter/dynamic-profile/view/1862390","18-1862390")</f>
        <v>0</v>
      </c>
      <c r="B2258" t="s">
        <v>15</v>
      </c>
      <c r="C2258" t="s">
        <v>29</v>
      </c>
      <c r="D2258" t="s">
        <v>1783</v>
      </c>
      <c r="E2258" t="s">
        <v>2387</v>
      </c>
      <c r="F2258" t="s">
        <v>2439</v>
      </c>
      <c r="I2258" t="s">
        <v>2446</v>
      </c>
      <c r="J2258" t="s">
        <v>2447</v>
      </c>
      <c r="K2258" t="s">
        <v>2569</v>
      </c>
      <c r="L2258" t="s">
        <v>2601</v>
      </c>
      <c r="M2258" t="s">
        <v>2641</v>
      </c>
    </row>
    <row r="2259" spans="1:14">
      <c r="A2259" s="1">
        <f>HYPERLINK("https://lsnyc.legalserver.org/matter/dynamic-profile/view/1862287","18-1862287")</f>
        <v>0</v>
      </c>
      <c r="B2259" t="s">
        <v>15</v>
      </c>
      <c r="C2259" t="s">
        <v>32</v>
      </c>
      <c r="D2259" t="s">
        <v>370</v>
      </c>
      <c r="E2259" t="s">
        <v>2381</v>
      </c>
      <c r="F2259" t="s">
        <v>2437</v>
      </c>
      <c r="J2259" t="s">
        <v>2497</v>
      </c>
      <c r="K2259" t="s">
        <v>2585</v>
      </c>
      <c r="L2259" t="s">
        <v>2608</v>
      </c>
      <c r="M2259" t="s">
        <v>2622</v>
      </c>
      <c r="N2259" t="s">
        <v>2648</v>
      </c>
    </row>
    <row r="2260" spans="1:14">
      <c r="A2260" s="1">
        <f>HYPERLINK("https://lsnyc.legalserver.org/matter/dynamic-profile/view/1862393","18-1862393")</f>
        <v>0</v>
      </c>
      <c r="B2260" t="s">
        <v>14</v>
      </c>
      <c r="C2260" t="s">
        <v>21</v>
      </c>
      <c r="D2260" t="s">
        <v>1784</v>
      </c>
      <c r="E2260" t="s">
        <v>2418</v>
      </c>
      <c r="F2260" t="s">
        <v>2437</v>
      </c>
      <c r="J2260" t="s">
        <v>2447</v>
      </c>
      <c r="K2260" t="s">
        <v>2569</v>
      </c>
      <c r="L2260" t="s">
        <v>2600</v>
      </c>
      <c r="M2260" t="s">
        <v>2617</v>
      </c>
      <c r="N2260" t="s">
        <v>2649</v>
      </c>
    </row>
    <row r="2261" spans="1:14">
      <c r="A2261" s="1">
        <f>HYPERLINK("https://lsnyc.legalserver.org/matter/dynamic-profile/view/1862395","18-1862395")</f>
        <v>0</v>
      </c>
      <c r="B2261" t="s">
        <v>16</v>
      </c>
      <c r="C2261" t="s">
        <v>23</v>
      </c>
      <c r="D2261" t="s">
        <v>1785</v>
      </c>
      <c r="E2261" t="s">
        <v>2387</v>
      </c>
      <c r="F2261" t="s">
        <v>2437</v>
      </c>
      <c r="I2261" t="s">
        <v>2446</v>
      </c>
      <c r="J2261" t="s">
        <v>2457</v>
      </c>
      <c r="K2261" t="s">
        <v>2569</v>
      </c>
      <c r="M2261" t="s">
        <v>2629</v>
      </c>
    </row>
    <row r="2262" spans="1:14">
      <c r="A2262" s="1">
        <f>HYPERLINK("https://lsnyc.legalserver.org/matter/dynamic-profile/view/1862399","18-1862399")</f>
        <v>0</v>
      </c>
      <c r="B2262" t="s">
        <v>16</v>
      </c>
      <c r="C2262" t="s">
        <v>23</v>
      </c>
      <c r="D2262" t="s">
        <v>1786</v>
      </c>
      <c r="E2262" t="s">
        <v>2387</v>
      </c>
      <c r="F2262" t="s">
        <v>2437</v>
      </c>
      <c r="I2262" t="s">
        <v>2446</v>
      </c>
      <c r="J2262" t="s">
        <v>2457</v>
      </c>
      <c r="K2262" t="s">
        <v>2569</v>
      </c>
      <c r="L2262" t="s">
        <v>2600</v>
      </c>
      <c r="M2262" t="s">
        <v>2629</v>
      </c>
    </row>
    <row r="2263" spans="1:14">
      <c r="A2263" s="1">
        <f>HYPERLINK("https://lsnyc.legalserver.org/matter/dynamic-profile/view/1862051","18-1862051")</f>
        <v>0</v>
      </c>
      <c r="B2263" t="s">
        <v>15</v>
      </c>
      <c r="C2263" t="s">
        <v>37</v>
      </c>
      <c r="D2263" t="s">
        <v>1787</v>
      </c>
      <c r="E2263" t="s">
        <v>2374</v>
      </c>
      <c r="F2263" t="s">
        <v>2440</v>
      </c>
      <c r="I2263" t="s">
        <v>2446</v>
      </c>
      <c r="J2263" t="s">
        <v>2450</v>
      </c>
      <c r="K2263" t="s">
        <v>2569</v>
      </c>
      <c r="L2263" t="s">
        <v>2601</v>
      </c>
      <c r="M2263" t="s">
        <v>2631</v>
      </c>
    </row>
    <row r="2264" spans="1:14">
      <c r="A2264" s="1">
        <f>HYPERLINK("https://lsnyc.legalserver.org/matter/dynamic-profile/view/1861618","18-1861618")</f>
        <v>0</v>
      </c>
      <c r="B2264" t="s">
        <v>17</v>
      </c>
      <c r="C2264" t="s">
        <v>42</v>
      </c>
      <c r="D2264" t="s">
        <v>1788</v>
      </c>
      <c r="E2264" t="s">
        <v>2374</v>
      </c>
      <c r="F2264" t="s">
        <v>2438</v>
      </c>
      <c r="I2264" t="s">
        <v>2446</v>
      </c>
      <c r="J2264" t="s">
        <v>2450</v>
      </c>
      <c r="K2264" t="s">
        <v>2569</v>
      </c>
      <c r="M2264" t="s">
        <v>2616</v>
      </c>
    </row>
    <row r="2265" spans="1:14">
      <c r="A2265" s="1">
        <f>HYPERLINK("https://lsnyc.legalserver.org/matter/dynamic-profile/view/1861630","18-1861630")</f>
        <v>0</v>
      </c>
      <c r="B2265" t="s">
        <v>17</v>
      </c>
      <c r="C2265" t="s">
        <v>42</v>
      </c>
      <c r="D2265" t="s">
        <v>1766</v>
      </c>
      <c r="E2265" t="s">
        <v>2374</v>
      </c>
      <c r="F2265" t="s">
        <v>2438</v>
      </c>
      <c r="I2265" t="s">
        <v>2446</v>
      </c>
      <c r="J2265" t="s">
        <v>2450</v>
      </c>
      <c r="K2265" t="s">
        <v>2569</v>
      </c>
      <c r="M2265" t="s">
        <v>2616</v>
      </c>
    </row>
    <row r="2266" spans="1:14">
      <c r="A2266" s="1">
        <f>HYPERLINK("https://lsnyc.legalserver.org/matter/dynamic-profile/view/1861640","18-1861640")</f>
        <v>0</v>
      </c>
      <c r="B2266" t="s">
        <v>17</v>
      </c>
      <c r="C2266" t="s">
        <v>36</v>
      </c>
      <c r="D2266" t="s">
        <v>1789</v>
      </c>
      <c r="E2266" t="s">
        <v>2374</v>
      </c>
      <c r="F2266" t="s">
        <v>2438</v>
      </c>
      <c r="I2266" t="s">
        <v>2446</v>
      </c>
      <c r="J2266" t="s">
        <v>2465</v>
      </c>
      <c r="K2266" t="s">
        <v>2569</v>
      </c>
      <c r="M2266" t="s">
        <v>2616</v>
      </c>
    </row>
    <row r="2267" spans="1:14">
      <c r="A2267" s="1">
        <f>HYPERLINK("https://lsnyc.legalserver.org/matter/dynamic-profile/view/1861647","18-1861647")</f>
        <v>0</v>
      </c>
      <c r="B2267" t="s">
        <v>17</v>
      </c>
      <c r="C2267" t="s">
        <v>36</v>
      </c>
      <c r="D2267" t="s">
        <v>1633</v>
      </c>
      <c r="E2267" t="s">
        <v>2374</v>
      </c>
      <c r="F2267" t="s">
        <v>2438</v>
      </c>
      <c r="I2267" t="s">
        <v>2446</v>
      </c>
      <c r="J2267" t="s">
        <v>2465</v>
      </c>
      <c r="K2267" t="s">
        <v>2569</v>
      </c>
      <c r="M2267" t="s">
        <v>2616</v>
      </c>
    </row>
    <row r="2268" spans="1:14">
      <c r="A2268" s="1">
        <f>HYPERLINK("https://lsnyc.legalserver.org/matter/dynamic-profile/view/1861652","18-1861652")</f>
        <v>0</v>
      </c>
      <c r="B2268" t="s">
        <v>17</v>
      </c>
      <c r="C2268" t="s">
        <v>42</v>
      </c>
      <c r="D2268" t="s">
        <v>1621</v>
      </c>
      <c r="E2268" t="s">
        <v>2374</v>
      </c>
      <c r="F2268" t="s">
        <v>2438</v>
      </c>
      <c r="I2268" t="s">
        <v>2446</v>
      </c>
      <c r="J2268" t="s">
        <v>2450</v>
      </c>
      <c r="K2268" t="s">
        <v>2569</v>
      </c>
      <c r="M2268" t="s">
        <v>2616</v>
      </c>
    </row>
    <row r="2269" spans="1:14">
      <c r="A2269" s="1">
        <f>HYPERLINK("https://lsnyc.legalserver.org/matter/dynamic-profile/view/1861656","18-1861656")</f>
        <v>0</v>
      </c>
      <c r="B2269" t="s">
        <v>17</v>
      </c>
      <c r="C2269" t="s">
        <v>42</v>
      </c>
      <c r="D2269" t="s">
        <v>1622</v>
      </c>
      <c r="E2269" t="s">
        <v>2374</v>
      </c>
      <c r="F2269" t="s">
        <v>2438</v>
      </c>
      <c r="I2269" t="s">
        <v>2446</v>
      </c>
      <c r="J2269" t="s">
        <v>2450</v>
      </c>
      <c r="K2269" t="s">
        <v>2569</v>
      </c>
      <c r="M2269" t="s">
        <v>2616</v>
      </c>
    </row>
    <row r="2270" spans="1:14">
      <c r="A2270" s="1">
        <f>HYPERLINK("https://lsnyc.legalserver.org/matter/dynamic-profile/view/1861659","18-1861659")</f>
        <v>0</v>
      </c>
      <c r="B2270" t="s">
        <v>17</v>
      </c>
      <c r="C2270" t="s">
        <v>42</v>
      </c>
      <c r="D2270" t="s">
        <v>1620</v>
      </c>
      <c r="E2270" t="s">
        <v>2374</v>
      </c>
      <c r="F2270" t="s">
        <v>2438</v>
      </c>
      <c r="I2270" t="s">
        <v>2446</v>
      </c>
      <c r="J2270" t="s">
        <v>2450</v>
      </c>
      <c r="K2270" t="s">
        <v>2569</v>
      </c>
      <c r="M2270" t="s">
        <v>2616</v>
      </c>
    </row>
    <row r="2271" spans="1:14">
      <c r="A2271" s="1">
        <f>HYPERLINK("https://lsnyc.legalserver.org/matter/dynamic-profile/view/1862050","18-1862050")</f>
        <v>0</v>
      </c>
      <c r="B2271" t="s">
        <v>15</v>
      </c>
      <c r="C2271" t="s">
        <v>37</v>
      </c>
      <c r="D2271" t="s">
        <v>1787</v>
      </c>
      <c r="E2271" t="s">
        <v>2406</v>
      </c>
      <c r="F2271" t="s">
        <v>2437</v>
      </c>
      <c r="I2271" t="s">
        <v>2446</v>
      </c>
      <c r="J2271" t="s">
        <v>2450</v>
      </c>
      <c r="K2271" t="s">
        <v>2569</v>
      </c>
      <c r="L2271" t="s">
        <v>2600</v>
      </c>
      <c r="M2271" t="s">
        <v>2642</v>
      </c>
      <c r="N2271" t="s">
        <v>2649</v>
      </c>
    </row>
    <row r="2272" spans="1:14">
      <c r="A2272" s="1">
        <f>HYPERLINK("https://lsnyc.legalserver.org/matter/dynamic-profile/view/1861944","18-1861944")</f>
        <v>0</v>
      </c>
      <c r="B2272" t="s">
        <v>18</v>
      </c>
      <c r="C2272" t="s">
        <v>34</v>
      </c>
      <c r="D2272" t="s">
        <v>1790</v>
      </c>
      <c r="E2272" t="s">
        <v>2381</v>
      </c>
      <c r="F2272" t="s">
        <v>2440</v>
      </c>
      <c r="J2272" t="s">
        <v>2448</v>
      </c>
      <c r="K2272" t="s">
        <v>2569</v>
      </c>
      <c r="L2272" t="s">
        <v>2600</v>
      </c>
      <c r="M2272" t="s">
        <v>2631</v>
      </c>
    </row>
    <row r="2273" spans="1:13">
      <c r="A2273" s="1">
        <f>HYPERLINK("https://lsnyc.legalserver.org/matter/dynamic-profile/view/1858767","18-1858767")</f>
        <v>0</v>
      </c>
      <c r="B2273" t="s">
        <v>17</v>
      </c>
      <c r="C2273" t="s">
        <v>71</v>
      </c>
      <c r="D2273" t="s">
        <v>1791</v>
      </c>
      <c r="E2273" t="s">
        <v>2387</v>
      </c>
      <c r="F2273" t="s">
        <v>2442</v>
      </c>
      <c r="J2273" t="s">
        <v>2457</v>
      </c>
      <c r="K2273" t="s">
        <v>2569</v>
      </c>
      <c r="L2273" t="s">
        <v>2604</v>
      </c>
      <c r="M2273" t="s">
        <v>2629</v>
      </c>
    </row>
    <row r="2274" spans="1:13">
      <c r="A2274" s="1">
        <f>HYPERLINK("https://lsnyc.legalserver.org/matter/dynamic-profile/view/1861902","18-1861902")</f>
        <v>0</v>
      </c>
      <c r="B2274" t="s">
        <v>19</v>
      </c>
      <c r="C2274" t="s">
        <v>38</v>
      </c>
      <c r="D2274" t="s">
        <v>1792</v>
      </c>
      <c r="E2274" t="s">
        <v>2383</v>
      </c>
      <c r="F2274" t="s">
        <v>2437</v>
      </c>
      <c r="J2274" t="s">
        <v>2452</v>
      </c>
      <c r="K2274" t="s">
        <v>2572</v>
      </c>
      <c r="L2274" t="s">
        <v>2604</v>
      </c>
      <c r="M2274" t="s">
        <v>2624</v>
      </c>
    </row>
    <row r="2275" spans="1:13">
      <c r="A2275" s="1">
        <f>HYPERLINK("https://lsnyc.legalserver.org/matter/dynamic-profile/view/1861876","18-1861876")</f>
        <v>0</v>
      </c>
      <c r="B2275" t="s">
        <v>15</v>
      </c>
      <c r="C2275" t="s">
        <v>55</v>
      </c>
      <c r="D2275" t="s">
        <v>1793</v>
      </c>
      <c r="E2275" t="s">
        <v>2381</v>
      </c>
      <c r="F2275" t="s">
        <v>2439</v>
      </c>
      <c r="I2275" t="s">
        <v>2446</v>
      </c>
      <c r="J2275" t="s">
        <v>2452</v>
      </c>
      <c r="K2275" t="s">
        <v>2572</v>
      </c>
      <c r="L2275" t="s">
        <v>2602</v>
      </c>
      <c r="M2275" t="s">
        <v>2631</v>
      </c>
    </row>
    <row r="2276" spans="1:13">
      <c r="A2276" s="1">
        <f>HYPERLINK("https://lsnyc.legalserver.org/matter/dynamic-profile/view/1862005","18-1862005")</f>
        <v>0</v>
      </c>
      <c r="B2276" t="s">
        <v>16</v>
      </c>
      <c r="C2276" t="s">
        <v>23</v>
      </c>
      <c r="D2276" t="s">
        <v>1794</v>
      </c>
      <c r="E2276" t="s">
        <v>2375</v>
      </c>
      <c r="F2276" t="s">
        <v>2437</v>
      </c>
      <c r="I2276" t="s">
        <v>2446</v>
      </c>
      <c r="J2276" t="s">
        <v>2488</v>
      </c>
      <c r="K2276" t="s">
        <v>2569</v>
      </c>
      <c r="L2276" t="s">
        <v>2604</v>
      </c>
      <c r="M2276" t="s">
        <v>2626</v>
      </c>
    </row>
    <row r="2277" spans="1:13">
      <c r="A2277" s="1">
        <f>HYPERLINK("https://lsnyc.legalserver.org/matter/dynamic-profile/view/1858565","18-1858565")</f>
        <v>0</v>
      </c>
      <c r="B2277" t="s">
        <v>17</v>
      </c>
      <c r="C2277" t="s">
        <v>42</v>
      </c>
      <c r="D2277" t="s">
        <v>1795</v>
      </c>
      <c r="E2277" t="s">
        <v>2385</v>
      </c>
      <c r="F2277" t="s">
        <v>2438</v>
      </c>
      <c r="I2277" t="s">
        <v>2446</v>
      </c>
      <c r="J2277" t="s">
        <v>2450</v>
      </c>
      <c r="K2277" t="s">
        <v>2569</v>
      </c>
      <c r="L2277" t="s">
        <v>2600</v>
      </c>
      <c r="M2277" t="s">
        <v>2616</v>
      </c>
    </row>
    <row r="2278" spans="1:13">
      <c r="A2278" s="1">
        <f>HYPERLINK("https://lsnyc.legalserver.org/matter/dynamic-profile/view/1861852","18-1861852")</f>
        <v>0</v>
      </c>
      <c r="B2278" t="s">
        <v>16</v>
      </c>
      <c r="C2278" t="s">
        <v>23</v>
      </c>
      <c r="D2278" t="s">
        <v>1796</v>
      </c>
      <c r="E2278" t="s">
        <v>2387</v>
      </c>
      <c r="F2278" t="s">
        <v>2439</v>
      </c>
      <c r="J2278" t="s">
        <v>2457</v>
      </c>
      <c r="K2278" t="s">
        <v>2569</v>
      </c>
      <c r="L2278" t="s">
        <v>2601</v>
      </c>
      <c r="M2278" t="s">
        <v>2641</v>
      </c>
    </row>
    <row r="2279" spans="1:13">
      <c r="A2279" s="1">
        <f>HYPERLINK("https://lsnyc.legalserver.org/matter/dynamic-profile/view/1861849","18-1861849")</f>
        <v>0</v>
      </c>
      <c r="B2279" t="s">
        <v>18</v>
      </c>
      <c r="C2279" t="s">
        <v>35</v>
      </c>
      <c r="D2279" t="s">
        <v>1797</v>
      </c>
      <c r="E2279" t="s">
        <v>2394</v>
      </c>
      <c r="F2279" t="s">
        <v>2439</v>
      </c>
      <c r="I2279" t="s">
        <v>2446</v>
      </c>
      <c r="J2279" t="s">
        <v>2452</v>
      </c>
      <c r="K2279" t="s">
        <v>2572</v>
      </c>
      <c r="L2279" t="s">
        <v>2602</v>
      </c>
      <c r="M2279" t="s">
        <v>2631</v>
      </c>
    </row>
    <row r="2280" spans="1:13">
      <c r="A2280" s="1">
        <f>HYPERLINK("https://lsnyc.legalserver.org/matter/dynamic-profile/view/1861675","18-1861675")</f>
        <v>0</v>
      </c>
      <c r="B2280" t="s">
        <v>14</v>
      </c>
      <c r="C2280" t="s">
        <v>43</v>
      </c>
      <c r="D2280" t="s">
        <v>1798</v>
      </c>
      <c r="E2280" t="s">
        <v>2393</v>
      </c>
      <c r="F2280" t="s">
        <v>2437</v>
      </c>
      <c r="I2280" t="s">
        <v>2446</v>
      </c>
      <c r="J2280" t="s">
        <v>2466</v>
      </c>
      <c r="K2280" t="s">
        <v>2572</v>
      </c>
      <c r="L2280" t="s">
        <v>2600</v>
      </c>
      <c r="M2280" t="s">
        <v>2637</v>
      </c>
    </row>
    <row r="2281" spans="1:13">
      <c r="A2281" s="1">
        <f>HYPERLINK("https://lsnyc.legalserver.org/matter/dynamic-profile/view/1861653","18-1861653")</f>
        <v>0</v>
      </c>
      <c r="B2281" t="s">
        <v>14</v>
      </c>
      <c r="C2281" t="s">
        <v>43</v>
      </c>
      <c r="D2281" t="s">
        <v>1799</v>
      </c>
      <c r="E2281" t="s">
        <v>2394</v>
      </c>
      <c r="I2281" t="s">
        <v>2446</v>
      </c>
      <c r="J2281" t="s">
        <v>2447</v>
      </c>
      <c r="K2281" t="s">
        <v>2569</v>
      </c>
      <c r="L2281" t="s">
        <v>2600</v>
      </c>
      <c r="M2281" t="s">
        <v>2627</v>
      </c>
    </row>
    <row r="2282" spans="1:13">
      <c r="A2282" s="1">
        <f>HYPERLINK("https://lsnyc.legalserver.org/matter/dynamic-profile/view/1861608","18-1861608")</f>
        <v>0</v>
      </c>
      <c r="B2282" t="s">
        <v>19</v>
      </c>
      <c r="C2282" t="s">
        <v>50</v>
      </c>
      <c r="D2282" t="s">
        <v>716</v>
      </c>
      <c r="E2282" t="s">
        <v>2374</v>
      </c>
      <c r="F2282" t="s">
        <v>2438</v>
      </c>
      <c r="I2282" t="s">
        <v>2446</v>
      </c>
      <c r="J2282" t="s">
        <v>2453</v>
      </c>
      <c r="K2282" t="s">
        <v>2572</v>
      </c>
      <c r="L2282" t="s">
        <v>2600</v>
      </c>
      <c r="M2282" t="s">
        <v>2626</v>
      </c>
    </row>
    <row r="2283" spans="1:13">
      <c r="A2283" s="1">
        <f>HYPERLINK("https://lsnyc.legalserver.org/matter/dynamic-profile/view/1861709","18-1861709")</f>
        <v>0</v>
      </c>
      <c r="B2283" t="s">
        <v>19</v>
      </c>
      <c r="C2283" t="s">
        <v>54</v>
      </c>
      <c r="D2283" t="s">
        <v>1800</v>
      </c>
      <c r="E2283" t="s">
        <v>2374</v>
      </c>
      <c r="F2283" t="s">
        <v>2438</v>
      </c>
      <c r="I2283" t="s">
        <v>2446</v>
      </c>
      <c r="J2283" t="s">
        <v>2460</v>
      </c>
      <c r="K2283" t="s">
        <v>2581</v>
      </c>
      <c r="M2283" t="s">
        <v>2616</v>
      </c>
    </row>
    <row r="2284" spans="1:13">
      <c r="A2284" s="1">
        <f>HYPERLINK("https://lsnyc.legalserver.org/matter/dynamic-profile/view/1861538","18-1861538")</f>
        <v>0</v>
      </c>
      <c r="B2284" t="s">
        <v>16</v>
      </c>
      <c r="C2284" t="s">
        <v>23</v>
      </c>
      <c r="D2284" t="s">
        <v>1801</v>
      </c>
      <c r="E2284" t="s">
        <v>2390</v>
      </c>
      <c r="J2284" t="s">
        <v>2448</v>
      </c>
      <c r="K2284" t="s">
        <v>2569</v>
      </c>
      <c r="L2284" t="s">
        <v>2601</v>
      </c>
      <c r="M2284" t="s">
        <v>2631</v>
      </c>
    </row>
    <row r="2285" spans="1:13">
      <c r="A2285" s="1">
        <f>HYPERLINK("https://lsnyc.legalserver.org/matter/dynamic-profile/view/1861575","18-1861575")</f>
        <v>0</v>
      </c>
      <c r="B2285" t="s">
        <v>14</v>
      </c>
      <c r="C2285" t="s">
        <v>43</v>
      </c>
      <c r="D2285" t="s">
        <v>1802</v>
      </c>
      <c r="E2285" t="s">
        <v>2406</v>
      </c>
      <c r="F2285" t="s">
        <v>2437</v>
      </c>
      <c r="I2285" t="s">
        <v>2446</v>
      </c>
      <c r="J2285" t="s">
        <v>2448</v>
      </c>
      <c r="K2285" t="s">
        <v>2569</v>
      </c>
      <c r="L2285" t="s">
        <v>2600</v>
      </c>
      <c r="M2285" t="s">
        <v>2642</v>
      </c>
    </row>
    <row r="2286" spans="1:13">
      <c r="A2286" s="1">
        <f>HYPERLINK("https://lsnyc.legalserver.org/matter/dynamic-profile/view/1861605","18-1861605")</f>
        <v>0</v>
      </c>
      <c r="B2286" t="s">
        <v>15</v>
      </c>
      <c r="C2286" t="s">
        <v>22</v>
      </c>
      <c r="D2286" t="s">
        <v>228</v>
      </c>
      <c r="E2286" t="s">
        <v>2403</v>
      </c>
      <c r="F2286" t="s">
        <v>2441</v>
      </c>
      <c r="I2286" t="s">
        <v>2446</v>
      </c>
      <c r="J2286" t="s">
        <v>2457</v>
      </c>
      <c r="K2286" t="s">
        <v>2569</v>
      </c>
      <c r="L2286" t="s">
        <v>2603</v>
      </c>
      <c r="M2286" t="s">
        <v>2639</v>
      </c>
    </row>
    <row r="2287" spans="1:13">
      <c r="A2287" s="1">
        <f>HYPERLINK("https://lsnyc.legalserver.org/matter/dynamic-profile/view/1861520","18-1861520")</f>
        <v>0</v>
      </c>
      <c r="B2287" t="s">
        <v>16</v>
      </c>
      <c r="C2287" t="s">
        <v>23</v>
      </c>
      <c r="D2287" t="s">
        <v>1803</v>
      </c>
      <c r="E2287" t="s">
        <v>2390</v>
      </c>
      <c r="F2287" t="s">
        <v>2437</v>
      </c>
      <c r="H2287" t="s">
        <v>2445</v>
      </c>
      <c r="J2287" t="s">
        <v>2448</v>
      </c>
      <c r="K2287" t="s">
        <v>2569</v>
      </c>
      <c r="M2287" t="s">
        <v>2619</v>
      </c>
    </row>
    <row r="2288" spans="1:13">
      <c r="A2288" s="1">
        <f>HYPERLINK("https://lsnyc.legalserver.org/matter/dynamic-profile/view/1861530","18-1861530")</f>
        <v>0</v>
      </c>
      <c r="B2288" t="s">
        <v>19</v>
      </c>
      <c r="C2288" t="s">
        <v>38</v>
      </c>
      <c r="D2288" t="s">
        <v>847</v>
      </c>
      <c r="E2288" t="s">
        <v>2386</v>
      </c>
      <c r="F2288" t="s">
        <v>2437</v>
      </c>
      <c r="I2288" t="s">
        <v>2446</v>
      </c>
      <c r="J2288" t="s">
        <v>2467</v>
      </c>
      <c r="K2288" t="s">
        <v>2572</v>
      </c>
      <c r="L2288" t="s">
        <v>2600</v>
      </c>
      <c r="M2288" t="s">
        <v>2627</v>
      </c>
    </row>
    <row r="2289" spans="1:14">
      <c r="A2289" s="1">
        <f>HYPERLINK("https://lsnyc.legalserver.org/matter/dynamic-profile/view/1861464","18-1861464")</f>
        <v>0</v>
      </c>
      <c r="B2289" t="s">
        <v>16</v>
      </c>
      <c r="C2289" t="s">
        <v>23</v>
      </c>
      <c r="D2289" t="s">
        <v>1804</v>
      </c>
      <c r="E2289" t="s">
        <v>2387</v>
      </c>
      <c r="F2289" t="s">
        <v>2439</v>
      </c>
      <c r="I2289" t="s">
        <v>2446</v>
      </c>
      <c r="J2289" t="s">
        <v>2448</v>
      </c>
      <c r="K2289" t="s">
        <v>2569</v>
      </c>
      <c r="L2289" t="s">
        <v>2601</v>
      </c>
      <c r="M2289" t="s">
        <v>2641</v>
      </c>
    </row>
    <row r="2290" spans="1:14">
      <c r="A2290" s="1">
        <f>HYPERLINK("https://lsnyc.legalserver.org/matter/dynamic-profile/view/1861467","18-1861467")</f>
        <v>0</v>
      </c>
      <c r="B2290" t="s">
        <v>19</v>
      </c>
      <c r="C2290" t="s">
        <v>38</v>
      </c>
      <c r="D2290" t="s">
        <v>1805</v>
      </c>
      <c r="E2290" t="s">
        <v>2381</v>
      </c>
      <c r="F2290" t="s">
        <v>2437</v>
      </c>
      <c r="I2290" t="s">
        <v>2446</v>
      </c>
      <c r="J2290" t="s">
        <v>2467</v>
      </c>
      <c r="K2290" t="s">
        <v>2572</v>
      </c>
      <c r="L2290" t="s">
        <v>2600</v>
      </c>
      <c r="M2290" t="s">
        <v>2622</v>
      </c>
    </row>
    <row r="2291" spans="1:14">
      <c r="A2291" s="1">
        <f>HYPERLINK("https://lsnyc.legalserver.org/matter/dynamic-profile/view/1861376","18-1861376")</f>
        <v>0</v>
      </c>
      <c r="B2291" t="s">
        <v>19</v>
      </c>
      <c r="C2291" t="s">
        <v>38</v>
      </c>
      <c r="D2291" t="s">
        <v>1806</v>
      </c>
      <c r="E2291" t="s">
        <v>2390</v>
      </c>
      <c r="F2291" t="s">
        <v>2437</v>
      </c>
      <c r="I2291" t="s">
        <v>2446</v>
      </c>
      <c r="J2291" t="s">
        <v>2452</v>
      </c>
      <c r="K2291" t="s">
        <v>2572</v>
      </c>
      <c r="M2291" t="s">
        <v>2619</v>
      </c>
    </row>
    <row r="2292" spans="1:14">
      <c r="A2292" s="1">
        <f>HYPERLINK("https://lsnyc.legalserver.org/matter/dynamic-profile/view/1861380","18-1861380")</f>
        <v>0</v>
      </c>
      <c r="B2292" t="s">
        <v>19</v>
      </c>
      <c r="C2292" t="s">
        <v>38</v>
      </c>
      <c r="D2292" t="s">
        <v>1806</v>
      </c>
      <c r="E2292" t="s">
        <v>2393</v>
      </c>
      <c r="F2292" t="s">
        <v>2437</v>
      </c>
      <c r="I2292" t="s">
        <v>2446</v>
      </c>
      <c r="J2292" t="s">
        <v>2452</v>
      </c>
      <c r="K2292" t="s">
        <v>2572</v>
      </c>
      <c r="M2292" t="s">
        <v>2637</v>
      </c>
    </row>
    <row r="2293" spans="1:14">
      <c r="A2293" s="1">
        <f>HYPERLINK("https://lsnyc.legalserver.org/matter/dynamic-profile/view/1861399","18-1861399")</f>
        <v>0</v>
      </c>
      <c r="B2293" t="s">
        <v>18</v>
      </c>
      <c r="C2293" t="s">
        <v>35</v>
      </c>
      <c r="D2293" t="s">
        <v>1277</v>
      </c>
      <c r="E2293" t="s">
        <v>2374</v>
      </c>
      <c r="F2293" t="s">
        <v>2438</v>
      </c>
      <c r="J2293" t="s">
        <v>2449</v>
      </c>
      <c r="K2293" t="s">
        <v>2572</v>
      </c>
      <c r="M2293" t="s">
        <v>2616</v>
      </c>
    </row>
    <row r="2294" spans="1:14">
      <c r="A2294" s="1">
        <f>HYPERLINK("https://lsnyc.legalserver.org/matter/dynamic-profile/view/1861407","18-1861407")</f>
        <v>0</v>
      </c>
      <c r="B2294" t="s">
        <v>18</v>
      </c>
      <c r="C2294" t="s">
        <v>35</v>
      </c>
      <c r="D2294" t="s">
        <v>276</v>
      </c>
      <c r="E2294" t="s">
        <v>2374</v>
      </c>
      <c r="F2294" t="s">
        <v>2438</v>
      </c>
      <c r="J2294" t="s">
        <v>2449</v>
      </c>
      <c r="K2294" t="s">
        <v>2569</v>
      </c>
      <c r="M2294" t="s">
        <v>2616</v>
      </c>
    </row>
    <row r="2295" spans="1:14">
      <c r="A2295" s="1">
        <f>HYPERLINK("https://lsnyc.legalserver.org/matter/dynamic-profile/view/1861462","18-1861462")</f>
        <v>0</v>
      </c>
      <c r="B2295" t="s">
        <v>16</v>
      </c>
      <c r="C2295" t="s">
        <v>23</v>
      </c>
      <c r="D2295" t="s">
        <v>1607</v>
      </c>
      <c r="E2295" t="s">
        <v>2370</v>
      </c>
      <c r="F2295" t="s">
        <v>2437</v>
      </c>
      <c r="I2295" t="s">
        <v>2446</v>
      </c>
      <c r="J2295" t="s">
        <v>2455</v>
      </c>
      <c r="K2295" t="s">
        <v>2569</v>
      </c>
      <c r="M2295" t="s">
        <v>2638</v>
      </c>
    </row>
    <row r="2296" spans="1:14">
      <c r="A2296" s="1">
        <f>HYPERLINK("https://lsnyc.legalserver.org/matter/dynamic-profile/view/1863372","18-1863372")</f>
        <v>0</v>
      </c>
      <c r="B2296" t="s">
        <v>16</v>
      </c>
      <c r="C2296" t="s">
        <v>23</v>
      </c>
      <c r="D2296" t="s">
        <v>538</v>
      </c>
      <c r="E2296" t="s">
        <v>2399</v>
      </c>
      <c r="F2296" t="s">
        <v>2437</v>
      </c>
      <c r="I2296" t="s">
        <v>2446</v>
      </c>
      <c r="J2296" t="s">
        <v>2447</v>
      </c>
      <c r="K2296" t="s">
        <v>2569</v>
      </c>
      <c r="M2296" t="s">
        <v>2621</v>
      </c>
    </row>
    <row r="2297" spans="1:14">
      <c r="A2297" s="1">
        <f>HYPERLINK("https://lsnyc.legalserver.org/matter/dynamic-profile/view/1861308","18-1861308")</f>
        <v>0</v>
      </c>
      <c r="B2297" t="s">
        <v>18</v>
      </c>
      <c r="C2297" t="s">
        <v>53</v>
      </c>
      <c r="D2297" t="s">
        <v>1807</v>
      </c>
      <c r="E2297" t="s">
        <v>2380</v>
      </c>
      <c r="F2297" t="s">
        <v>2439</v>
      </c>
      <c r="J2297" t="s">
        <v>2448</v>
      </c>
      <c r="K2297" t="s">
        <v>2569</v>
      </c>
      <c r="L2297" t="s">
        <v>2601</v>
      </c>
      <c r="M2297" t="s">
        <v>2631</v>
      </c>
    </row>
    <row r="2298" spans="1:14">
      <c r="A2298" s="1">
        <f>HYPERLINK("https://lsnyc.legalserver.org/matter/dynamic-profile/view/1861341","18-1861341")</f>
        <v>0</v>
      </c>
      <c r="B2298" t="s">
        <v>19</v>
      </c>
      <c r="C2298" t="s">
        <v>47</v>
      </c>
      <c r="D2298" t="s">
        <v>737</v>
      </c>
      <c r="E2298" t="s">
        <v>2390</v>
      </c>
      <c r="F2298" t="s">
        <v>2437</v>
      </c>
      <c r="I2298" t="s">
        <v>2446</v>
      </c>
      <c r="J2298" t="s">
        <v>2516</v>
      </c>
      <c r="K2298" t="s">
        <v>2572</v>
      </c>
      <c r="L2298" t="s">
        <v>2600</v>
      </c>
      <c r="M2298" t="s">
        <v>2619</v>
      </c>
    </row>
    <row r="2299" spans="1:14">
      <c r="A2299" s="1">
        <f>HYPERLINK("https://lsnyc.legalserver.org/matter/dynamic-profile/view/1861317","18-1861317")</f>
        <v>0</v>
      </c>
      <c r="B2299" t="s">
        <v>15</v>
      </c>
      <c r="C2299" t="s">
        <v>32</v>
      </c>
      <c r="D2299" t="s">
        <v>1808</v>
      </c>
      <c r="E2299" t="s">
        <v>2381</v>
      </c>
      <c r="F2299" t="s">
        <v>2437</v>
      </c>
      <c r="I2299" t="s">
        <v>2446</v>
      </c>
      <c r="J2299" t="s">
        <v>2455</v>
      </c>
      <c r="K2299" t="s">
        <v>2569</v>
      </c>
      <c r="L2299" t="s">
        <v>2603</v>
      </c>
      <c r="M2299" t="s">
        <v>2622</v>
      </c>
      <c r="N2299" t="s">
        <v>2648</v>
      </c>
    </row>
    <row r="2300" spans="1:14">
      <c r="A2300" s="1">
        <f>HYPERLINK("https://lsnyc.legalserver.org/matter/dynamic-profile/view/1861325","18-1861325")</f>
        <v>0</v>
      </c>
      <c r="B2300" t="s">
        <v>16</v>
      </c>
      <c r="C2300" t="s">
        <v>23</v>
      </c>
      <c r="D2300" t="s">
        <v>1738</v>
      </c>
      <c r="E2300" t="s">
        <v>2405</v>
      </c>
      <c r="F2300" t="s">
        <v>2437</v>
      </c>
      <c r="I2300" t="s">
        <v>2446</v>
      </c>
      <c r="J2300" t="s">
        <v>2457</v>
      </c>
      <c r="K2300" t="s">
        <v>2569</v>
      </c>
      <c r="M2300" t="s">
        <v>2613</v>
      </c>
    </row>
    <row r="2301" spans="1:14">
      <c r="A2301" s="1">
        <f>HYPERLINK("https://lsnyc.legalserver.org/matter/dynamic-profile/view/1861334","18-1861334")</f>
        <v>0</v>
      </c>
      <c r="B2301" t="s">
        <v>14</v>
      </c>
      <c r="C2301" t="s">
        <v>26</v>
      </c>
      <c r="D2301" t="s">
        <v>1809</v>
      </c>
      <c r="E2301" t="s">
        <v>2387</v>
      </c>
      <c r="F2301" t="s">
        <v>2437</v>
      </c>
      <c r="J2301" t="s">
        <v>2448</v>
      </c>
      <c r="K2301" t="s">
        <v>2569</v>
      </c>
      <c r="M2301" t="s">
        <v>2629</v>
      </c>
      <c r="N2301" t="s">
        <v>2648</v>
      </c>
    </row>
    <row r="2302" spans="1:14">
      <c r="A2302" s="1">
        <f>HYPERLINK("https://lsnyc.legalserver.org/matter/dynamic-profile/view/1862021","18-1862021")</f>
        <v>0</v>
      </c>
      <c r="B2302" t="s">
        <v>15</v>
      </c>
      <c r="C2302" t="s">
        <v>73</v>
      </c>
      <c r="D2302" t="s">
        <v>1810</v>
      </c>
      <c r="E2302" t="s">
        <v>2381</v>
      </c>
      <c r="F2302" t="s">
        <v>2437</v>
      </c>
      <c r="I2302" t="s">
        <v>2446</v>
      </c>
      <c r="J2302" t="s">
        <v>2460</v>
      </c>
      <c r="K2302" t="s">
        <v>2581</v>
      </c>
      <c r="L2302" t="s">
        <v>2603</v>
      </c>
      <c r="M2302" t="s">
        <v>2622</v>
      </c>
    </row>
    <row r="2303" spans="1:14">
      <c r="A2303" s="1">
        <f>HYPERLINK("https://lsnyc.legalserver.org/matter/dynamic-profile/view/1861614","18-1861614")</f>
        <v>0</v>
      </c>
      <c r="B2303" t="s">
        <v>17</v>
      </c>
      <c r="C2303" t="s">
        <v>42</v>
      </c>
      <c r="D2303" t="s">
        <v>1811</v>
      </c>
      <c r="E2303" t="s">
        <v>2385</v>
      </c>
      <c r="F2303" t="s">
        <v>2438</v>
      </c>
      <c r="I2303" t="s">
        <v>2446</v>
      </c>
      <c r="J2303" t="s">
        <v>2450</v>
      </c>
      <c r="K2303" t="s">
        <v>2569</v>
      </c>
      <c r="L2303" t="s">
        <v>2600</v>
      </c>
      <c r="M2303" t="s">
        <v>2616</v>
      </c>
    </row>
    <row r="2304" spans="1:14">
      <c r="A2304" s="1">
        <f>HYPERLINK("https://lsnyc.legalserver.org/matter/dynamic-profile/view/1861044","18-1861044")</f>
        <v>0</v>
      </c>
      <c r="B2304" t="s">
        <v>16</v>
      </c>
      <c r="C2304" t="s">
        <v>23</v>
      </c>
      <c r="D2304" t="s">
        <v>1812</v>
      </c>
      <c r="E2304" t="s">
        <v>2390</v>
      </c>
      <c r="J2304" t="s">
        <v>2452</v>
      </c>
      <c r="K2304" t="s">
        <v>2572</v>
      </c>
      <c r="L2304" t="s">
        <v>2601</v>
      </c>
      <c r="M2304" t="s">
        <v>2631</v>
      </c>
    </row>
    <row r="2305" spans="1:14">
      <c r="A2305" s="1">
        <f>HYPERLINK("https://lsnyc.legalserver.org/matter/dynamic-profile/view/1861304","18-1861304")</f>
        <v>0</v>
      </c>
      <c r="B2305" t="s">
        <v>18</v>
      </c>
      <c r="C2305" t="s">
        <v>53</v>
      </c>
      <c r="D2305" t="s">
        <v>1807</v>
      </c>
      <c r="E2305" t="s">
        <v>2380</v>
      </c>
      <c r="F2305" t="s">
        <v>2439</v>
      </c>
      <c r="J2305" t="s">
        <v>2448</v>
      </c>
      <c r="K2305" t="s">
        <v>2569</v>
      </c>
      <c r="L2305" t="s">
        <v>2601</v>
      </c>
      <c r="M2305" t="s">
        <v>2631</v>
      </c>
    </row>
    <row r="2306" spans="1:14">
      <c r="A2306" s="1">
        <f>HYPERLINK("https://lsnyc.legalserver.org/matter/dynamic-profile/view/1861320","18-1861320")</f>
        <v>0</v>
      </c>
      <c r="B2306" t="s">
        <v>18</v>
      </c>
      <c r="C2306" t="s">
        <v>53</v>
      </c>
      <c r="D2306" t="s">
        <v>1807</v>
      </c>
      <c r="E2306" t="s">
        <v>2380</v>
      </c>
      <c r="F2306" t="s">
        <v>2439</v>
      </c>
      <c r="I2306" t="s">
        <v>2446</v>
      </c>
      <c r="J2306" t="s">
        <v>2448</v>
      </c>
      <c r="K2306" t="s">
        <v>2569</v>
      </c>
      <c r="L2306" t="s">
        <v>2601</v>
      </c>
      <c r="M2306" t="s">
        <v>2631</v>
      </c>
    </row>
    <row r="2307" spans="1:14">
      <c r="A2307" s="1">
        <f>HYPERLINK("https://lsnyc.legalserver.org/matter/dynamic-profile/view/1860963","18-1860963")</f>
        <v>0</v>
      </c>
      <c r="B2307" t="s">
        <v>19</v>
      </c>
      <c r="C2307" t="s">
        <v>38</v>
      </c>
      <c r="D2307" t="s">
        <v>1770</v>
      </c>
      <c r="E2307" t="s">
        <v>2394</v>
      </c>
      <c r="F2307" t="s">
        <v>2437</v>
      </c>
      <c r="I2307" t="s">
        <v>2446</v>
      </c>
      <c r="J2307" t="s">
        <v>2452</v>
      </c>
      <c r="K2307" t="s">
        <v>2572</v>
      </c>
      <c r="L2307" t="s">
        <v>2600</v>
      </c>
      <c r="M2307" t="s">
        <v>2627</v>
      </c>
    </row>
    <row r="2308" spans="1:14">
      <c r="A2308" s="1">
        <f>HYPERLINK("https://lsnyc.legalserver.org/matter/dynamic-profile/view/1860914","18-1860914")</f>
        <v>0</v>
      </c>
      <c r="B2308" t="s">
        <v>19</v>
      </c>
      <c r="C2308" t="s">
        <v>38</v>
      </c>
      <c r="D2308" t="s">
        <v>1792</v>
      </c>
      <c r="E2308" t="s">
        <v>2394</v>
      </c>
      <c r="F2308" t="s">
        <v>2437</v>
      </c>
      <c r="I2308" t="s">
        <v>2446</v>
      </c>
      <c r="J2308" t="s">
        <v>2452</v>
      </c>
      <c r="K2308" t="s">
        <v>2572</v>
      </c>
      <c r="L2308" t="s">
        <v>2600</v>
      </c>
      <c r="M2308" t="s">
        <v>2627</v>
      </c>
    </row>
    <row r="2309" spans="1:14">
      <c r="A2309" s="1">
        <f>HYPERLINK("https://lsnyc.legalserver.org/matter/dynamic-profile/view/1860867","18-1860867")</f>
        <v>0</v>
      </c>
      <c r="B2309" t="s">
        <v>14</v>
      </c>
      <c r="C2309" t="s">
        <v>43</v>
      </c>
      <c r="D2309" t="s">
        <v>1813</v>
      </c>
      <c r="E2309" t="s">
        <v>2381</v>
      </c>
      <c r="F2309" t="s">
        <v>2439</v>
      </c>
      <c r="I2309" t="s">
        <v>2446</v>
      </c>
      <c r="J2309" t="s">
        <v>2452</v>
      </c>
      <c r="K2309" t="s">
        <v>2572</v>
      </c>
      <c r="L2309" t="s">
        <v>2601</v>
      </c>
      <c r="M2309" t="s">
        <v>2631</v>
      </c>
    </row>
    <row r="2310" spans="1:14">
      <c r="A2310" s="1">
        <f>HYPERLINK("https://lsnyc.legalserver.org/matter/dynamic-profile/view/1860902","18-1860902")</f>
        <v>0</v>
      </c>
      <c r="B2310" t="s">
        <v>16</v>
      </c>
      <c r="C2310" t="s">
        <v>46</v>
      </c>
      <c r="D2310" t="s">
        <v>1814</v>
      </c>
      <c r="E2310" t="s">
        <v>2390</v>
      </c>
      <c r="F2310" t="s">
        <v>2439</v>
      </c>
      <c r="I2310" t="s">
        <v>2446</v>
      </c>
      <c r="J2310" t="s">
        <v>2516</v>
      </c>
      <c r="K2310" t="s">
        <v>2569</v>
      </c>
      <c r="L2310" t="s">
        <v>2602</v>
      </c>
      <c r="M2310" t="s">
        <v>2631</v>
      </c>
    </row>
    <row r="2311" spans="1:14">
      <c r="A2311" s="1">
        <f>HYPERLINK("https://lsnyc.legalserver.org/matter/dynamic-profile/view/1860861","18-1860861")</f>
        <v>0</v>
      </c>
      <c r="B2311" t="s">
        <v>16</v>
      </c>
      <c r="C2311" t="s">
        <v>23</v>
      </c>
      <c r="D2311" t="s">
        <v>1641</v>
      </c>
      <c r="E2311" t="s">
        <v>2370</v>
      </c>
      <c r="F2311" t="s">
        <v>2437</v>
      </c>
      <c r="I2311" t="s">
        <v>2446</v>
      </c>
      <c r="J2311" t="s">
        <v>2447</v>
      </c>
      <c r="K2311" t="s">
        <v>2569</v>
      </c>
      <c r="M2311" t="s">
        <v>2638</v>
      </c>
    </row>
    <row r="2312" spans="1:14">
      <c r="A2312" s="1">
        <f>HYPERLINK("https://lsnyc.legalserver.org/matter/dynamic-profile/view/1860918","18-1860918")</f>
        <v>0</v>
      </c>
      <c r="B2312" t="s">
        <v>15</v>
      </c>
      <c r="C2312" t="s">
        <v>49</v>
      </c>
      <c r="D2312" t="s">
        <v>1815</v>
      </c>
      <c r="E2312" t="s">
        <v>2390</v>
      </c>
      <c r="F2312" t="s">
        <v>2440</v>
      </c>
      <c r="I2312" t="s">
        <v>2446</v>
      </c>
      <c r="J2312" t="s">
        <v>2448</v>
      </c>
      <c r="K2312" t="s">
        <v>2569</v>
      </c>
      <c r="M2312" t="s">
        <v>2631</v>
      </c>
    </row>
    <row r="2313" spans="1:14">
      <c r="A2313" s="1">
        <f>HYPERLINK("https://lsnyc.legalserver.org/matter/dynamic-profile/view/1860952","18-1860952")</f>
        <v>0</v>
      </c>
      <c r="B2313" t="s">
        <v>15</v>
      </c>
      <c r="C2313" t="s">
        <v>31</v>
      </c>
      <c r="D2313" t="s">
        <v>1816</v>
      </c>
      <c r="E2313" t="s">
        <v>2374</v>
      </c>
      <c r="F2313" t="s">
        <v>2438</v>
      </c>
      <c r="I2313" t="s">
        <v>2446</v>
      </c>
      <c r="J2313" t="s">
        <v>2455</v>
      </c>
      <c r="K2313" t="s">
        <v>2569</v>
      </c>
      <c r="M2313" t="s">
        <v>2616</v>
      </c>
    </row>
    <row r="2314" spans="1:14">
      <c r="A2314" s="1">
        <f>HYPERLINK("https://lsnyc.legalserver.org/matter/dynamic-profile/view/1860805","18-1860805")</f>
        <v>0</v>
      </c>
      <c r="B2314" t="s">
        <v>19</v>
      </c>
      <c r="C2314" t="s">
        <v>23</v>
      </c>
      <c r="D2314" t="s">
        <v>1817</v>
      </c>
      <c r="F2314" t="s">
        <v>2439</v>
      </c>
      <c r="J2314" t="s">
        <v>2452</v>
      </c>
      <c r="K2314" t="s">
        <v>2572</v>
      </c>
      <c r="L2314" t="s">
        <v>2601</v>
      </c>
      <c r="M2314" t="s">
        <v>2631</v>
      </c>
    </row>
    <row r="2315" spans="1:14">
      <c r="A2315" s="1">
        <f>HYPERLINK("https://lsnyc.legalserver.org/matter/dynamic-profile/view/1860754","18-1860754")</f>
        <v>0</v>
      </c>
      <c r="B2315" t="s">
        <v>19</v>
      </c>
      <c r="C2315" t="s">
        <v>47</v>
      </c>
      <c r="D2315" t="s">
        <v>1818</v>
      </c>
      <c r="E2315" t="s">
        <v>2380</v>
      </c>
      <c r="F2315" t="s">
        <v>2437</v>
      </c>
      <c r="I2315" t="s">
        <v>2446</v>
      </c>
      <c r="J2315" t="s">
        <v>2452</v>
      </c>
      <c r="K2315" t="s">
        <v>2572</v>
      </c>
      <c r="L2315" t="s">
        <v>2600</v>
      </c>
      <c r="M2315" t="s">
        <v>2621</v>
      </c>
    </row>
    <row r="2316" spans="1:14">
      <c r="A2316" s="1">
        <f>HYPERLINK("https://lsnyc.legalserver.org/matter/dynamic-profile/view/1860829","18-1860829")</f>
        <v>0</v>
      </c>
      <c r="B2316" t="s">
        <v>14</v>
      </c>
      <c r="C2316" t="s">
        <v>43</v>
      </c>
      <c r="D2316" t="s">
        <v>1819</v>
      </c>
      <c r="E2316" t="s">
        <v>2394</v>
      </c>
      <c r="F2316" t="s">
        <v>2439</v>
      </c>
      <c r="I2316" t="s">
        <v>2446</v>
      </c>
      <c r="J2316" t="s">
        <v>2448</v>
      </c>
      <c r="K2316" t="s">
        <v>2569</v>
      </c>
      <c r="L2316" t="s">
        <v>2601</v>
      </c>
      <c r="M2316" t="s">
        <v>2631</v>
      </c>
    </row>
    <row r="2317" spans="1:14">
      <c r="A2317" s="1">
        <f>HYPERLINK("https://lsnyc.legalserver.org/matter/dynamic-profile/view/1860795","18-1860795")</f>
        <v>0</v>
      </c>
      <c r="B2317" t="s">
        <v>18</v>
      </c>
      <c r="C2317" t="s">
        <v>35</v>
      </c>
      <c r="D2317" t="s">
        <v>1820</v>
      </c>
      <c r="E2317" t="s">
        <v>2371</v>
      </c>
      <c r="F2317" t="s">
        <v>2440</v>
      </c>
      <c r="I2317" t="s">
        <v>2446</v>
      </c>
      <c r="J2317" t="s">
        <v>2470</v>
      </c>
      <c r="K2317" t="s">
        <v>2577</v>
      </c>
      <c r="L2317" t="s">
        <v>2600</v>
      </c>
      <c r="M2317" t="s">
        <v>2636</v>
      </c>
    </row>
    <row r="2318" spans="1:14">
      <c r="A2318" s="1">
        <f>HYPERLINK("https://lsnyc.legalserver.org/matter/dynamic-profile/view/1860734","18-1860734")</f>
        <v>0</v>
      </c>
      <c r="B2318" t="s">
        <v>14</v>
      </c>
      <c r="C2318" t="s">
        <v>21</v>
      </c>
      <c r="D2318" t="s">
        <v>1725</v>
      </c>
      <c r="E2318" t="s">
        <v>2385</v>
      </c>
      <c r="F2318" t="s">
        <v>2438</v>
      </c>
      <c r="I2318" t="s">
        <v>2446</v>
      </c>
      <c r="J2318" t="s">
        <v>2450</v>
      </c>
      <c r="K2318" t="s">
        <v>2569</v>
      </c>
      <c r="L2318" t="s">
        <v>2600</v>
      </c>
      <c r="M2318" t="s">
        <v>2616</v>
      </c>
      <c r="N2318" t="s">
        <v>2649</v>
      </c>
    </row>
    <row r="2319" spans="1:14">
      <c r="A2319" s="1">
        <f>HYPERLINK("https://lsnyc.legalserver.org/matter/dynamic-profile/view/1860786","18-1860786")</f>
        <v>0</v>
      </c>
      <c r="B2319" t="s">
        <v>14</v>
      </c>
      <c r="C2319" t="s">
        <v>21</v>
      </c>
      <c r="D2319" t="s">
        <v>1821</v>
      </c>
      <c r="E2319" t="s">
        <v>2371</v>
      </c>
      <c r="F2319" t="s">
        <v>2437</v>
      </c>
      <c r="I2319" t="s">
        <v>2446</v>
      </c>
      <c r="J2319" t="s">
        <v>2448</v>
      </c>
      <c r="K2319" t="s">
        <v>2569</v>
      </c>
      <c r="L2319" t="s">
        <v>2610</v>
      </c>
      <c r="M2319" t="s">
        <v>2612</v>
      </c>
      <c r="N2319" t="s">
        <v>2648</v>
      </c>
    </row>
    <row r="2320" spans="1:14">
      <c r="A2320" s="1">
        <f>HYPERLINK("https://lsnyc.legalserver.org/matter/dynamic-profile/view/1860854","18-1860854")</f>
        <v>0</v>
      </c>
      <c r="B2320" t="s">
        <v>16</v>
      </c>
      <c r="C2320" t="s">
        <v>23</v>
      </c>
      <c r="D2320" t="s">
        <v>1822</v>
      </c>
      <c r="E2320" t="s">
        <v>2375</v>
      </c>
      <c r="F2320" t="s">
        <v>2437</v>
      </c>
      <c r="I2320" t="s">
        <v>2446</v>
      </c>
      <c r="J2320" t="s">
        <v>2488</v>
      </c>
      <c r="K2320" t="s">
        <v>2569</v>
      </c>
      <c r="M2320" t="s">
        <v>2617</v>
      </c>
    </row>
    <row r="2321" spans="1:13">
      <c r="A2321" s="1">
        <f>HYPERLINK("https://lsnyc.legalserver.org/matter/dynamic-profile/view/1860673","18-1860673")</f>
        <v>0</v>
      </c>
      <c r="B2321" t="s">
        <v>18</v>
      </c>
      <c r="C2321" t="s">
        <v>34</v>
      </c>
      <c r="D2321" t="s">
        <v>1823</v>
      </c>
      <c r="E2321" t="s">
        <v>2387</v>
      </c>
      <c r="F2321" t="s">
        <v>2439</v>
      </c>
      <c r="J2321" t="s">
        <v>2455</v>
      </c>
      <c r="K2321" t="s">
        <v>2569</v>
      </c>
      <c r="L2321" t="s">
        <v>2601</v>
      </c>
      <c r="M2321" t="s">
        <v>2641</v>
      </c>
    </row>
    <row r="2322" spans="1:13">
      <c r="A2322" s="1">
        <f>HYPERLINK("https://lsnyc.legalserver.org/matter/dynamic-profile/view/1860655","18-1860655")</f>
        <v>0</v>
      </c>
      <c r="B2322" t="s">
        <v>17</v>
      </c>
      <c r="C2322" t="s">
        <v>25</v>
      </c>
      <c r="D2322" t="s">
        <v>1824</v>
      </c>
      <c r="E2322" t="s">
        <v>2375</v>
      </c>
      <c r="F2322" t="s">
        <v>2442</v>
      </c>
      <c r="I2322" t="s">
        <v>2446</v>
      </c>
      <c r="J2322" t="s">
        <v>2457</v>
      </c>
      <c r="L2322" t="s">
        <v>2604</v>
      </c>
      <c r="M2322" t="s">
        <v>2617</v>
      </c>
    </row>
    <row r="2323" spans="1:13">
      <c r="A2323" s="1">
        <f>HYPERLINK("https://lsnyc.legalserver.org/matter/dynamic-profile/view/1860690","18-1860690")</f>
        <v>0</v>
      </c>
      <c r="B2323" t="s">
        <v>16</v>
      </c>
      <c r="C2323" t="s">
        <v>23</v>
      </c>
      <c r="D2323" t="s">
        <v>1825</v>
      </c>
      <c r="E2323" t="s">
        <v>2390</v>
      </c>
      <c r="F2323" t="s">
        <v>2437</v>
      </c>
      <c r="I2323" t="s">
        <v>2446</v>
      </c>
      <c r="J2323" t="s">
        <v>2506</v>
      </c>
      <c r="K2323" t="s">
        <v>2569</v>
      </c>
      <c r="L2323" t="s">
        <v>2604</v>
      </c>
      <c r="M2323" t="s">
        <v>2619</v>
      </c>
    </row>
    <row r="2324" spans="1:13">
      <c r="A2324" s="1">
        <f>HYPERLINK("https://lsnyc.legalserver.org/matter/dynamic-profile/view/1860613","18-1860613")</f>
        <v>0</v>
      </c>
      <c r="B2324" t="s">
        <v>16</v>
      </c>
      <c r="C2324" t="s">
        <v>23</v>
      </c>
      <c r="D2324" t="s">
        <v>1826</v>
      </c>
      <c r="E2324" t="s">
        <v>2375</v>
      </c>
      <c r="F2324" t="s">
        <v>2437</v>
      </c>
      <c r="I2324" t="s">
        <v>2446</v>
      </c>
      <c r="J2324" t="s">
        <v>2488</v>
      </c>
      <c r="K2324" t="s">
        <v>2569</v>
      </c>
      <c r="M2324" t="s">
        <v>2617</v>
      </c>
    </row>
    <row r="2325" spans="1:13">
      <c r="A2325" s="1">
        <f>HYPERLINK("https://lsnyc.legalserver.org/matter/dynamic-profile/view/1860643","18-1860643")</f>
        <v>0</v>
      </c>
      <c r="B2325" t="s">
        <v>15</v>
      </c>
      <c r="C2325" t="s">
        <v>31</v>
      </c>
      <c r="D2325" t="s">
        <v>1827</v>
      </c>
      <c r="E2325" t="s">
        <v>2383</v>
      </c>
      <c r="F2325" t="s">
        <v>2440</v>
      </c>
      <c r="I2325" t="s">
        <v>2446</v>
      </c>
      <c r="J2325" t="s">
        <v>2473</v>
      </c>
      <c r="K2325" t="s">
        <v>2580</v>
      </c>
      <c r="M2325" t="s">
        <v>2631</v>
      </c>
    </row>
    <row r="2326" spans="1:13">
      <c r="A2326" s="1">
        <f>HYPERLINK("https://lsnyc.legalserver.org/matter/dynamic-profile/view/1860663","18-1860663")</f>
        <v>0</v>
      </c>
      <c r="B2326" t="s">
        <v>15</v>
      </c>
      <c r="C2326" t="s">
        <v>22</v>
      </c>
      <c r="D2326" t="s">
        <v>400</v>
      </c>
      <c r="E2326" t="s">
        <v>2370</v>
      </c>
      <c r="F2326" t="s">
        <v>2437</v>
      </c>
      <c r="J2326" t="s">
        <v>2452</v>
      </c>
      <c r="K2326" t="s">
        <v>2572</v>
      </c>
      <c r="M2326" t="s">
        <v>2638</v>
      </c>
    </row>
    <row r="2327" spans="1:13">
      <c r="A2327" s="1">
        <f>HYPERLINK("https://lsnyc.legalserver.org/matter/dynamic-profile/view/1860680","18-1860680")</f>
        <v>0</v>
      </c>
      <c r="B2327" t="s">
        <v>16</v>
      </c>
      <c r="C2327" t="s">
        <v>23</v>
      </c>
      <c r="D2327" t="s">
        <v>1653</v>
      </c>
      <c r="E2327" t="s">
        <v>2390</v>
      </c>
      <c r="F2327" t="s">
        <v>2437</v>
      </c>
      <c r="I2327" t="s">
        <v>2446</v>
      </c>
      <c r="J2327" t="s">
        <v>2448</v>
      </c>
      <c r="K2327" t="s">
        <v>2569</v>
      </c>
      <c r="M2327" t="s">
        <v>2619</v>
      </c>
    </row>
    <row r="2328" spans="1:13">
      <c r="A2328" s="1">
        <f>HYPERLINK("https://lsnyc.legalserver.org/matter/dynamic-profile/view/1860481","18-1860481")</f>
        <v>0</v>
      </c>
      <c r="B2328" t="s">
        <v>18</v>
      </c>
      <c r="C2328" t="s">
        <v>35</v>
      </c>
      <c r="D2328" t="s">
        <v>1828</v>
      </c>
      <c r="E2328" t="s">
        <v>2375</v>
      </c>
      <c r="F2328" t="s">
        <v>2437</v>
      </c>
      <c r="I2328" t="s">
        <v>2446</v>
      </c>
      <c r="J2328" t="s">
        <v>2455</v>
      </c>
      <c r="K2328" t="s">
        <v>2569</v>
      </c>
      <c r="M2328" t="s">
        <v>2617</v>
      </c>
    </row>
    <row r="2329" spans="1:13">
      <c r="A2329" s="1">
        <f>HYPERLINK("https://lsnyc.legalserver.org/matter/dynamic-profile/view/1860518","18-1860518")</f>
        <v>0</v>
      </c>
      <c r="B2329" t="s">
        <v>16</v>
      </c>
      <c r="C2329" t="s">
        <v>23</v>
      </c>
      <c r="D2329" t="s">
        <v>1829</v>
      </c>
      <c r="E2329" t="s">
        <v>2390</v>
      </c>
      <c r="F2329" t="s">
        <v>2437</v>
      </c>
      <c r="I2329" t="s">
        <v>2446</v>
      </c>
      <c r="J2329" t="s">
        <v>2457</v>
      </c>
      <c r="K2329" t="s">
        <v>2572</v>
      </c>
      <c r="M2329" t="s">
        <v>2626</v>
      </c>
    </row>
    <row r="2330" spans="1:13">
      <c r="A2330" s="1">
        <f>HYPERLINK("https://lsnyc.legalserver.org/matter/dynamic-profile/view/1860403","18-1860403")</f>
        <v>0</v>
      </c>
      <c r="B2330" t="s">
        <v>16</v>
      </c>
      <c r="C2330" t="s">
        <v>23</v>
      </c>
      <c r="D2330" t="s">
        <v>1830</v>
      </c>
      <c r="E2330" t="s">
        <v>2390</v>
      </c>
      <c r="H2330" t="s">
        <v>2445</v>
      </c>
      <c r="J2330" t="s">
        <v>2452</v>
      </c>
      <c r="K2330" t="s">
        <v>2572</v>
      </c>
      <c r="L2330" t="s">
        <v>2601</v>
      </c>
      <c r="M2330" t="s">
        <v>2631</v>
      </c>
    </row>
    <row r="2331" spans="1:13">
      <c r="A2331" s="1">
        <f>HYPERLINK("https://lsnyc.legalserver.org/matter/dynamic-profile/view/1860315","18-1860315")</f>
        <v>0</v>
      </c>
      <c r="B2331" t="s">
        <v>18</v>
      </c>
      <c r="C2331" t="s">
        <v>35</v>
      </c>
      <c r="D2331" t="s">
        <v>1831</v>
      </c>
      <c r="E2331" t="s">
        <v>2381</v>
      </c>
      <c r="F2331" t="s">
        <v>2440</v>
      </c>
      <c r="J2331" t="s">
        <v>2448</v>
      </c>
      <c r="K2331" t="s">
        <v>2569</v>
      </c>
      <c r="L2331" t="s">
        <v>2602</v>
      </c>
      <c r="M2331" t="s">
        <v>2631</v>
      </c>
    </row>
    <row r="2332" spans="1:13">
      <c r="A2332" s="1">
        <f>HYPERLINK("https://lsnyc.legalserver.org/matter/dynamic-profile/view/1860376","18-1860376")</f>
        <v>0</v>
      </c>
      <c r="B2332" t="s">
        <v>16</v>
      </c>
      <c r="C2332" t="s">
        <v>23</v>
      </c>
      <c r="D2332" t="s">
        <v>1832</v>
      </c>
      <c r="E2332" t="s">
        <v>2390</v>
      </c>
      <c r="F2332" t="s">
        <v>2439</v>
      </c>
      <c r="I2332" t="s">
        <v>2446</v>
      </c>
      <c r="J2332" t="s">
        <v>2523</v>
      </c>
      <c r="K2332" t="s">
        <v>2572</v>
      </c>
      <c r="L2332" t="s">
        <v>2601</v>
      </c>
      <c r="M2332" t="s">
        <v>2631</v>
      </c>
    </row>
    <row r="2333" spans="1:13">
      <c r="A2333" s="1">
        <f>HYPERLINK("https://lsnyc.legalserver.org/matter/dynamic-profile/view/1860721","18-1860721")</f>
        <v>0</v>
      </c>
      <c r="B2333" t="s">
        <v>18</v>
      </c>
      <c r="C2333" t="s">
        <v>53</v>
      </c>
      <c r="D2333" t="s">
        <v>1833</v>
      </c>
      <c r="E2333" t="s">
        <v>2390</v>
      </c>
      <c r="F2333" t="s">
        <v>2439</v>
      </c>
      <c r="I2333" t="s">
        <v>2446</v>
      </c>
      <c r="J2333" t="s">
        <v>2448</v>
      </c>
      <c r="K2333" t="s">
        <v>2569</v>
      </c>
      <c r="L2333" t="s">
        <v>2601</v>
      </c>
      <c r="M2333" t="s">
        <v>2631</v>
      </c>
    </row>
    <row r="2334" spans="1:13">
      <c r="A2334" s="1">
        <f>HYPERLINK("https://lsnyc.legalserver.org/matter/dynamic-profile/view/1860371","18-1860371")</f>
        <v>0</v>
      </c>
      <c r="B2334" t="s">
        <v>14</v>
      </c>
      <c r="C2334" t="s">
        <v>21</v>
      </c>
      <c r="D2334" t="s">
        <v>1834</v>
      </c>
      <c r="E2334" t="s">
        <v>2375</v>
      </c>
      <c r="F2334" t="s">
        <v>2437</v>
      </c>
      <c r="I2334" t="s">
        <v>2446</v>
      </c>
      <c r="J2334" t="s">
        <v>2454</v>
      </c>
      <c r="K2334" t="s">
        <v>2572</v>
      </c>
      <c r="L2334" t="s">
        <v>2603</v>
      </c>
      <c r="M2334" t="s">
        <v>2617</v>
      </c>
    </row>
    <row r="2335" spans="1:13">
      <c r="A2335" s="1">
        <f>HYPERLINK("https://lsnyc.legalserver.org/matter/dynamic-profile/view/1860386","18-1860386")</f>
        <v>0</v>
      </c>
      <c r="B2335" t="s">
        <v>16</v>
      </c>
      <c r="C2335" t="s">
        <v>23</v>
      </c>
      <c r="D2335" t="s">
        <v>1835</v>
      </c>
      <c r="E2335" t="s">
        <v>2390</v>
      </c>
      <c r="F2335" t="s">
        <v>2437</v>
      </c>
      <c r="I2335" t="s">
        <v>2446</v>
      </c>
      <c r="J2335" t="s">
        <v>2457</v>
      </c>
      <c r="K2335" t="s">
        <v>2572</v>
      </c>
      <c r="L2335" t="s">
        <v>2601</v>
      </c>
      <c r="M2335" t="s">
        <v>2631</v>
      </c>
    </row>
    <row r="2336" spans="1:13">
      <c r="A2336" s="1">
        <f>HYPERLINK("https://lsnyc.legalserver.org/matter/dynamic-profile/view/1860364","18-1860364")</f>
        <v>0</v>
      </c>
      <c r="B2336" t="s">
        <v>18</v>
      </c>
      <c r="C2336" t="s">
        <v>35</v>
      </c>
      <c r="D2336" t="s">
        <v>814</v>
      </c>
      <c r="E2336" t="s">
        <v>2383</v>
      </c>
      <c r="F2336" t="s">
        <v>2437</v>
      </c>
      <c r="J2336" t="s">
        <v>2518</v>
      </c>
      <c r="K2336" t="s">
        <v>2572</v>
      </c>
      <c r="L2336" t="s">
        <v>2603</v>
      </c>
      <c r="M2336" t="s">
        <v>2624</v>
      </c>
    </row>
    <row r="2337" spans="1:14">
      <c r="A2337" s="1">
        <f>HYPERLINK("https://lsnyc.legalserver.org/matter/dynamic-profile/view/1860296","18-1860296")</f>
        <v>0</v>
      </c>
      <c r="B2337" t="s">
        <v>16</v>
      </c>
      <c r="C2337" t="s">
        <v>23</v>
      </c>
      <c r="D2337" t="s">
        <v>1836</v>
      </c>
      <c r="E2337" t="s">
        <v>2390</v>
      </c>
      <c r="F2337" t="s">
        <v>2437</v>
      </c>
      <c r="H2337" t="s">
        <v>2445</v>
      </c>
      <c r="J2337" t="s">
        <v>2467</v>
      </c>
      <c r="K2337" t="s">
        <v>2572</v>
      </c>
      <c r="M2337" t="s">
        <v>2619</v>
      </c>
    </row>
    <row r="2338" spans="1:14">
      <c r="A2338" s="1">
        <f>HYPERLINK("https://lsnyc.legalserver.org/matter/dynamic-profile/view/1860338","18-1860338")</f>
        <v>0</v>
      </c>
      <c r="B2338" t="s">
        <v>16</v>
      </c>
      <c r="C2338" t="s">
        <v>23</v>
      </c>
      <c r="D2338" t="s">
        <v>1837</v>
      </c>
      <c r="E2338" t="s">
        <v>2390</v>
      </c>
      <c r="F2338" t="s">
        <v>2437</v>
      </c>
      <c r="I2338" t="s">
        <v>2446</v>
      </c>
      <c r="J2338" t="s">
        <v>2452</v>
      </c>
      <c r="K2338" t="s">
        <v>2572</v>
      </c>
      <c r="M2338" t="s">
        <v>2619</v>
      </c>
    </row>
    <row r="2339" spans="1:14">
      <c r="A2339" s="1">
        <f>HYPERLINK("https://lsnyc.legalserver.org/matter/dynamic-profile/view/1860414","18-1860414")</f>
        <v>0</v>
      </c>
      <c r="B2339" t="s">
        <v>14</v>
      </c>
      <c r="C2339" t="s">
        <v>33</v>
      </c>
      <c r="D2339" t="s">
        <v>1838</v>
      </c>
      <c r="E2339" t="s">
        <v>2374</v>
      </c>
      <c r="F2339" t="s">
        <v>2438</v>
      </c>
      <c r="I2339" t="s">
        <v>2446</v>
      </c>
      <c r="J2339" t="s">
        <v>2450</v>
      </c>
      <c r="K2339" t="s">
        <v>2569</v>
      </c>
      <c r="L2339" t="s">
        <v>2600</v>
      </c>
      <c r="M2339" t="s">
        <v>2616</v>
      </c>
    </row>
    <row r="2340" spans="1:14">
      <c r="A2340" s="1">
        <f>HYPERLINK("https://lsnyc.legalserver.org/matter/dynamic-profile/view/1860173","18-1860173")</f>
        <v>0</v>
      </c>
      <c r="B2340" t="s">
        <v>18</v>
      </c>
      <c r="C2340" t="s">
        <v>35</v>
      </c>
      <c r="D2340" t="s">
        <v>1839</v>
      </c>
      <c r="E2340" t="s">
        <v>2374</v>
      </c>
      <c r="F2340" t="s">
        <v>2438</v>
      </c>
      <c r="I2340" t="s">
        <v>2446</v>
      </c>
      <c r="J2340" t="s">
        <v>2474</v>
      </c>
      <c r="K2340" t="s">
        <v>2572</v>
      </c>
      <c r="L2340" t="s">
        <v>2603</v>
      </c>
      <c r="M2340" t="s">
        <v>2626</v>
      </c>
    </row>
    <row r="2341" spans="1:14">
      <c r="A2341" s="1">
        <f>HYPERLINK("https://lsnyc.legalserver.org/matter/dynamic-profile/view/1860283","18-1860283")</f>
        <v>0</v>
      </c>
      <c r="B2341" t="s">
        <v>14</v>
      </c>
      <c r="C2341" t="s">
        <v>43</v>
      </c>
      <c r="D2341" t="s">
        <v>1840</v>
      </c>
      <c r="E2341" t="s">
        <v>2390</v>
      </c>
      <c r="F2341" t="s">
        <v>2439</v>
      </c>
      <c r="I2341" t="s">
        <v>2446</v>
      </c>
      <c r="J2341" t="s">
        <v>2448</v>
      </c>
      <c r="K2341" t="s">
        <v>2569</v>
      </c>
      <c r="L2341" t="s">
        <v>2601</v>
      </c>
      <c r="M2341" t="s">
        <v>2631</v>
      </c>
    </row>
    <row r="2342" spans="1:14">
      <c r="A2342" s="1">
        <f>HYPERLINK("https://lsnyc.legalserver.org/matter/dynamic-profile/view/1860161","18-1860161")</f>
        <v>0</v>
      </c>
      <c r="B2342" t="s">
        <v>19</v>
      </c>
      <c r="C2342" t="s">
        <v>38</v>
      </c>
      <c r="D2342" t="s">
        <v>1841</v>
      </c>
      <c r="E2342" t="s">
        <v>2393</v>
      </c>
      <c r="F2342" t="s">
        <v>2437</v>
      </c>
      <c r="I2342" t="s">
        <v>2446</v>
      </c>
      <c r="J2342" t="s">
        <v>2490</v>
      </c>
      <c r="L2342" t="s">
        <v>2600</v>
      </c>
      <c r="M2342" t="s">
        <v>2637</v>
      </c>
    </row>
    <row r="2343" spans="1:14">
      <c r="A2343" s="1">
        <f>HYPERLINK("https://lsnyc.legalserver.org/matter/dynamic-profile/view/1860150","18-1860150")</f>
        <v>0</v>
      </c>
      <c r="B2343" t="s">
        <v>16</v>
      </c>
      <c r="C2343" t="s">
        <v>31</v>
      </c>
      <c r="D2343" t="s">
        <v>1842</v>
      </c>
      <c r="E2343" t="s">
        <v>2390</v>
      </c>
      <c r="F2343" t="s">
        <v>2437</v>
      </c>
      <c r="I2343" t="s">
        <v>2446</v>
      </c>
      <c r="J2343" t="s">
        <v>2450</v>
      </c>
      <c r="K2343" t="s">
        <v>2569</v>
      </c>
      <c r="L2343" t="s">
        <v>2604</v>
      </c>
      <c r="M2343" t="s">
        <v>2619</v>
      </c>
    </row>
    <row r="2344" spans="1:14">
      <c r="A2344" s="1">
        <f>HYPERLINK("https://lsnyc.legalserver.org/matter/dynamic-profile/view/1860178","18-1860178")</f>
        <v>0</v>
      </c>
      <c r="B2344" t="s">
        <v>15</v>
      </c>
      <c r="C2344" t="s">
        <v>49</v>
      </c>
      <c r="D2344" t="s">
        <v>1709</v>
      </c>
      <c r="E2344" t="s">
        <v>2381</v>
      </c>
      <c r="F2344" t="s">
        <v>2437</v>
      </c>
      <c r="I2344" t="s">
        <v>2446</v>
      </c>
      <c r="J2344" t="s">
        <v>2476</v>
      </c>
      <c r="K2344" t="s">
        <v>2572</v>
      </c>
      <c r="M2344" t="s">
        <v>2626</v>
      </c>
    </row>
    <row r="2345" spans="1:14">
      <c r="A2345" s="1">
        <f>HYPERLINK("https://lsnyc.legalserver.org/matter/dynamic-profile/view/1860058","18-1860058")</f>
        <v>0</v>
      </c>
      <c r="B2345" t="s">
        <v>19</v>
      </c>
      <c r="C2345" t="s">
        <v>27</v>
      </c>
      <c r="D2345" t="s">
        <v>1843</v>
      </c>
      <c r="E2345" t="s">
        <v>2393</v>
      </c>
      <c r="F2345" t="s">
        <v>2437</v>
      </c>
      <c r="J2345" t="s">
        <v>2452</v>
      </c>
      <c r="K2345" t="s">
        <v>2572</v>
      </c>
      <c r="L2345" t="s">
        <v>2603</v>
      </c>
      <c r="M2345" t="s">
        <v>2637</v>
      </c>
    </row>
    <row r="2346" spans="1:14">
      <c r="A2346" s="1">
        <f>HYPERLINK("https://lsnyc.legalserver.org/matter/dynamic-profile/view/1860053","18-1860053")</f>
        <v>0</v>
      </c>
      <c r="B2346" t="s">
        <v>19</v>
      </c>
      <c r="C2346" t="s">
        <v>47</v>
      </c>
      <c r="D2346" t="s">
        <v>1843</v>
      </c>
      <c r="E2346" t="s">
        <v>2386</v>
      </c>
      <c r="F2346" t="s">
        <v>2437</v>
      </c>
      <c r="J2346" t="s">
        <v>2452</v>
      </c>
      <c r="K2346" t="s">
        <v>2572</v>
      </c>
      <c r="L2346" t="s">
        <v>2606</v>
      </c>
      <c r="M2346" t="s">
        <v>2627</v>
      </c>
      <c r="N2346" t="s">
        <v>2648</v>
      </c>
    </row>
    <row r="2347" spans="1:14">
      <c r="A2347" s="1">
        <f>HYPERLINK("https://lsnyc.legalserver.org/matter/dynamic-profile/view/1860101","18-1860101")</f>
        <v>0</v>
      </c>
      <c r="B2347" t="s">
        <v>16</v>
      </c>
      <c r="C2347" t="s">
        <v>23</v>
      </c>
      <c r="D2347" t="s">
        <v>1750</v>
      </c>
      <c r="E2347" t="s">
        <v>2380</v>
      </c>
      <c r="F2347" t="s">
        <v>2438</v>
      </c>
      <c r="H2347" t="s">
        <v>2445</v>
      </c>
      <c r="K2347" t="s">
        <v>2572</v>
      </c>
      <c r="M2347" t="s">
        <v>2621</v>
      </c>
    </row>
    <row r="2348" spans="1:14">
      <c r="A2348" s="1">
        <f>HYPERLINK("https://lsnyc.legalserver.org/matter/dynamic-profile/view/1859919","18-1859919")</f>
        <v>0</v>
      </c>
      <c r="B2348" t="s">
        <v>19</v>
      </c>
      <c r="C2348" t="s">
        <v>38</v>
      </c>
      <c r="D2348" t="s">
        <v>1844</v>
      </c>
      <c r="E2348" t="s">
        <v>2393</v>
      </c>
      <c r="F2348" t="s">
        <v>2437</v>
      </c>
      <c r="I2348" t="s">
        <v>2446</v>
      </c>
      <c r="J2348" t="s">
        <v>2452</v>
      </c>
      <c r="K2348" t="s">
        <v>2572</v>
      </c>
      <c r="L2348" t="s">
        <v>2600</v>
      </c>
      <c r="M2348" t="s">
        <v>2637</v>
      </c>
    </row>
    <row r="2349" spans="1:14">
      <c r="A2349" s="1">
        <f>HYPERLINK("https://lsnyc.legalserver.org/matter/dynamic-profile/view/1859877","18-1859877")</f>
        <v>0</v>
      </c>
      <c r="B2349" t="s">
        <v>16</v>
      </c>
      <c r="C2349" t="s">
        <v>23</v>
      </c>
      <c r="D2349" t="s">
        <v>1495</v>
      </c>
      <c r="E2349" t="s">
        <v>2390</v>
      </c>
      <c r="F2349" t="s">
        <v>2437</v>
      </c>
      <c r="I2349" t="s">
        <v>2446</v>
      </c>
      <c r="J2349" t="s">
        <v>2452</v>
      </c>
      <c r="K2349" t="s">
        <v>2572</v>
      </c>
      <c r="L2349" t="s">
        <v>2604</v>
      </c>
      <c r="M2349" t="s">
        <v>2619</v>
      </c>
    </row>
    <row r="2350" spans="1:14">
      <c r="A2350" s="1">
        <f>HYPERLINK("https://lsnyc.legalserver.org/matter/dynamic-profile/view/1857574","18-1857574")</f>
        <v>0</v>
      </c>
      <c r="B2350" t="s">
        <v>17</v>
      </c>
      <c r="C2350" t="s">
        <v>28</v>
      </c>
      <c r="D2350" t="s">
        <v>1845</v>
      </c>
      <c r="E2350" t="s">
        <v>2374</v>
      </c>
      <c r="F2350" t="s">
        <v>2438</v>
      </c>
      <c r="I2350" t="s">
        <v>2446</v>
      </c>
      <c r="J2350" t="s">
        <v>2450</v>
      </c>
      <c r="K2350" t="s">
        <v>2569</v>
      </c>
      <c r="L2350" t="s">
        <v>2609</v>
      </c>
      <c r="M2350" t="s">
        <v>2616</v>
      </c>
    </row>
    <row r="2351" spans="1:14">
      <c r="A2351" s="1">
        <f>HYPERLINK("https://lsnyc.legalserver.org/matter/dynamic-profile/view/1857575","18-1857575")</f>
        <v>0</v>
      </c>
      <c r="B2351" t="s">
        <v>17</v>
      </c>
      <c r="C2351" t="s">
        <v>28</v>
      </c>
      <c r="D2351" t="s">
        <v>1846</v>
      </c>
      <c r="E2351" t="s">
        <v>2374</v>
      </c>
      <c r="F2351" t="s">
        <v>2438</v>
      </c>
      <c r="I2351" t="s">
        <v>2446</v>
      </c>
      <c r="J2351" t="s">
        <v>2450</v>
      </c>
      <c r="K2351" t="s">
        <v>2569</v>
      </c>
      <c r="L2351" t="s">
        <v>2609</v>
      </c>
      <c r="M2351" t="s">
        <v>2616</v>
      </c>
    </row>
    <row r="2352" spans="1:14">
      <c r="A2352" s="1">
        <f>HYPERLINK("https://lsnyc.legalserver.org/matter/dynamic-profile/view/1857576","18-1857576")</f>
        <v>0</v>
      </c>
      <c r="B2352" t="s">
        <v>17</v>
      </c>
      <c r="C2352" t="s">
        <v>28</v>
      </c>
      <c r="D2352" t="s">
        <v>1847</v>
      </c>
      <c r="E2352" t="s">
        <v>2374</v>
      </c>
      <c r="F2352" t="s">
        <v>2438</v>
      </c>
      <c r="I2352" t="s">
        <v>2446</v>
      </c>
      <c r="J2352" t="s">
        <v>2450</v>
      </c>
      <c r="K2352" t="s">
        <v>2569</v>
      </c>
      <c r="M2352" t="s">
        <v>2616</v>
      </c>
    </row>
    <row r="2353" spans="1:13">
      <c r="A2353" s="1">
        <f>HYPERLINK("https://lsnyc.legalserver.org/matter/dynamic-profile/view/1859786","18-1859786")</f>
        <v>0</v>
      </c>
      <c r="B2353" t="s">
        <v>16</v>
      </c>
      <c r="C2353" t="s">
        <v>23</v>
      </c>
      <c r="D2353" t="s">
        <v>1848</v>
      </c>
      <c r="E2353" t="s">
        <v>2375</v>
      </c>
      <c r="J2353" t="s">
        <v>2483</v>
      </c>
      <c r="K2353" t="s">
        <v>2571</v>
      </c>
      <c r="L2353" t="s">
        <v>2601</v>
      </c>
      <c r="M2353" t="s">
        <v>2631</v>
      </c>
    </row>
    <row r="2354" spans="1:13">
      <c r="A2354" s="1">
        <f>HYPERLINK("https://lsnyc.legalserver.org/matter/dynamic-profile/view/1859828","18-1859828")</f>
        <v>0</v>
      </c>
      <c r="B2354" t="s">
        <v>14</v>
      </c>
      <c r="C2354" t="s">
        <v>43</v>
      </c>
      <c r="D2354" t="s">
        <v>1849</v>
      </c>
      <c r="E2354" t="s">
        <v>2381</v>
      </c>
      <c r="F2354" t="s">
        <v>2437</v>
      </c>
      <c r="I2354" t="s">
        <v>2446</v>
      </c>
      <c r="J2354" t="s">
        <v>2455</v>
      </c>
      <c r="K2354" t="s">
        <v>2572</v>
      </c>
      <c r="L2354" t="s">
        <v>2600</v>
      </c>
      <c r="M2354" t="s">
        <v>2626</v>
      </c>
    </row>
    <row r="2355" spans="1:13">
      <c r="A2355" s="1">
        <f>HYPERLINK("https://lsnyc.legalserver.org/matter/dynamic-profile/view/1859761","18-1859761")</f>
        <v>0</v>
      </c>
      <c r="B2355" t="s">
        <v>16</v>
      </c>
      <c r="C2355" t="s">
        <v>23</v>
      </c>
      <c r="D2355" t="s">
        <v>1850</v>
      </c>
      <c r="E2355" t="s">
        <v>2390</v>
      </c>
      <c r="F2355" t="s">
        <v>2437</v>
      </c>
      <c r="I2355" t="s">
        <v>2446</v>
      </c>
      <c r="J2355" t="s">
        <v>2518</v>
      </c>
      <c r="K2355" t="s">
        <v>2572</v>
      </c>
      <c r="M2355" t="s">
        <v>2626</v>
      </c>
    </row>
    <row r="2356" spans="1:13">
      <c r="A2356" s="1">
        <f>HYPERLINK("https://lsnyc.legalserver.org/matter/dynamic-profile/view/1859782","18-1859782")</f>
        <v>0</v>
      </c>
      <c r="B2356" t="s">
        <v>16</v>
      </c>
      <c r="C2356" t="s">
        <v>23</v>
      </c>
      <c r="D2356" t="s">
        <v>1644</v>
      </c>
      <c r="E2356" t="s">
        <v>2386</v>
      </c>
      <c r="F2356" t="s">
        <v>2437</v>
      </c>
      <c r="I2356" t="s">
        <v>2446</v>
      </c>
      <c r="J2356" t="s">
        <v>2448</v>
      </c>
      <c r="K2356" t="s">
        <v>2569</v>
      </c>
      <c r="M2356" t="s">
        <v>2627</v>
      </c>
    </row>
    <row r="2357" spans="1:13">
      <c r="A2357" s="1">
        <f>HYPERLINK("https://lsnyc.legalserver.org/matter/dynamic-profile/view/1859811","18-1859811")</f>
        <v>0</v>
      </c>
      <c r="B2357" t="s">
        <v>14</v>
      </c>
      <c r="C2357" t="s">
        <v>43</v>
      </c>
      <c r="D2357" t="s">
        <v>1397</v>
      </c>
      <c r="E2357" t="s">
        <v>2408</v>
      </c>
      <c r="F2357" t="s">
        <v>2437</v>
      </c>
      <c r="I2357" t="s">
        <v>2446</v>
      </c>
      <c r="J2357" t="s">
        <v>2456</v>
      </c>
      <c r="K2357" t="s">
        <v>2572</v>
      </c>
      <c r="L2357" t="s">
        <v>2600</v>
      </c>
      <c r="M2357" t="s">
        <v>2619</v>
      </c>
    </row>
    <row r="2358" spans="1:13">
      <c r="A2358" s="1">
        <f>HYPERLINK("https://lsnyc.legalserver.org/matter/dynamic-profile/view/1859716","18-1859716")</f>
        <v>0</v>
      </c>
      <c r="B2358" t="s">
        <v>16</v>
      </c>
      <c r="C2358" t="s">
        <v>23</v>
      </c>
      <c r="D2358" t="s">
        <v>1851</v>
      </c>
      <c r="K2358" t="s">
        <v>2572</v>
      </c>
      <c r="L2358" t="s">
        <v>2601</v>
      </c>
      <c r="M2358" t="s">
        <v>2631</v>
      </c>
    </row>
    <row r="2359" spans="1:13">
      <c r="A2359" s="1">
        <f>HYPERLINK("https://lsnyc.legalserver.org/matter/dynamic-profile/view/1860168","18-1860168")</f>
        <v>0</v>
      </c>
      <c r="B2359" t="s">
        <v>18</v>
      </c>
      <c r="C2359" t="s">
        <v>53</v>
      </c>
      <c r="D2359" t="s">
        <v>1852</v>
      </c>
      <c r="E2359" t="s">
        <v>2374</v>
      </c>
      <c r="F2359" t="s">
        <v>2440</v>
      </c>
      <c r="I2359" t="s">
        <v>2446</v>
      </c>
      <c r="J2359" t="s">
        <v>2448</v>
      </c>
      <c r="K2359" t="s">
        <v>2569</v>
      </c>
      <c r="L2359" t="s">
        <v>2601</v>
      </c>
      <c r="M2359" t="s">
        <v>2631</v>
      </c>
    </row>
    <row r="2360" spans="1:13">
      <c r="A2360" s="1">
        <f>HYPERLINK("https://lsnyc.legalserver.org/matter/dynamic-profile/view/1860713","18-1860713")</f>
        <v>0</v>
      </c>
      <c r="B2360" t="s">
        <v>14</v>
      </c>
      <c r="C2360" t="s">
        <v>21</v>
      </c>
      <c r="D2360" t="s">
        <v>1853</v>
      </c>
      <c r="E2360" t="s">
        <v>2374</v>
      </c>
      <c r="F2360" t="s">
        <v>2438</v>
      </c>
      <c r="I2360" t="s">
        <v>2446</v>
      </c>
      <c r="J2360" t="s">
        <v>2448</v>
      </c>
      <c r="K2360" t="s">
        <v>2569</v>
      </c>
      <c r="L2360" t="s">
        <v>2603</v>
      </c>
      <c r="M2360" t="s">
        <v>2616</v>
      </c>
    </row>
    <row r="2361" spans="1:13">
      <c r="A2361" s="1">
        <f>HYPERLINK("https://lsnyc.legalserver.org/matter/dynamic-profile/view/1859648","18-1859648")</f>
        <v>0</v>
      </c>
      <c r="B2361" t="s">
        <v>15</v>
      </c>
      <c r="C2361" t="s">
        <v>37</v>
      </c>
      <c r="D2361" t="s">
        <v>1854</v>
      </c>
      <c r="E2361" t="s">
        <v>2381</v>
      </c>
      <c r="F2361" t="s">
        <v>2437</v>
      </c>
      <c r="I2361" t="s">
        <v>2446</v>
      </c>
      <c r="J2361" t="s">
        <v>2452</v>
      </c>
      <c r="K2361" t="s">
        <v>2572</v>
      </c>
      <c r="L2361" t="s">
        <v>2600</v>
      </c>
      <c r="M2361" t="s">
        <v>2622</v>
      </c>
    </row>
    <row r="2362" spans="1:13">
      <c r="A2362" s="1">
        <f>HYPERLINK("https://lsnyc.legalserver.org/matter/dynamic-profile/view/1859710","18-1859710")</f>
        <v>0</v>
      </c>
      <c r="B2362" t="s">
        <v>16</v>
      </c>
      <c r="C2362" t="s">
        <v>23</v>
      </c>
      <c r="D2362" t="s">
        <v>1855</v>
      </c>
      <c r="E2362" t="s">
        <v>2390</v>
      </c>
      <c r="F2362" t="s">
        <v>2437</v>
      </c>
      <c r="I2362" t="s">
        <v>2446</v>
      </c>
      <c r="J2362" t="s">
        <v>2534</v>
      </c>
      <c r="K2362" t="s">
        <v>2572</v>
      </c>
      <c r="M2362" t="s">
        <v>2619</v>
      </c>
    </row>
    <row r="2363" spans="1:13">
      <c r="A2363" s="1">
        <f>HYPERLINK("https://lsnyc.legalserver.org/matter/dynamic-profile/view/1859543","18-1859543")</f>
        <v>0</v>
      </c>
      <c r="B2363" t="s">
        <v>15</v>
      </c>
      <c r="C2363" t="s">
        <v>37</v>
      </c>
      <c r="D2363" t="s">
        <v>1856</v>
      </c>
      <c r="E2363" t="s">
        <v>2383</v>
      </c>
      <c r="F2363" t="s">
        <v>2437</v>
      </c>
      <c r="I2363" t="s">
        <v>2446</v>
      </c>
      <c r="J2363" t="s">
        <v>2460</v>
      </c>
      <c r="K2363" t="s">
        <v>2572</v>
      </c>
      <c r="M2363" t="s">
        <v>2624</v>
      </c>
    </row>
    <row r="2364" spans="1:13">
      <c r="A2364" s="1">
        <f>HYPERLINK("https://lsnyc.legalserver.org/matter/dynamic-profile/view/1860042","18-1860042")</f>
        <v>0</v>
      </c>
      <c r="B2364" t="s">
        <v>17</v>
      </c>
      <c r="C2364" t="s">
        <v>28</v>
      </c>
      <c r="D2364" t="s">
        <v>792</v>
      </c>
      <c r="E2364" t="s">
        <v>2374</v>
      </c>
      <c r="F2364" t="s">
        <v>2438</v>
      </c>
      <c r="I2364" t="s">
        <v>2446</v>
      </c>
      <c r="J2364" t="s">
        <v>2449</v>
      </c>
      <c r="K2364" t="s">
        <v>2569</v>
      </c>
      <c r="M2364" t="s">
        <v>2616</v>
      </c>
    </row>
    <row r="2365" spans="1:13">
      <c r="A2365" s="1">
        <f>HYPERLINK("https://lsnyc.legalserver.org/matter/dynamic-profile/view/1860046","18-1860046")</f>
        <v>0</v>
      </c>
      <c r="B2365" t="s">
        <v>17</v>
      </c>
      <c r="C2365" t="s">
        <v>28</v>
      </c>
      <c r="D2365" t="s">
        <v>794</v>
      </c>
      <c r="E2365" t="s">
        <v>2374</v>
      </c>
      <c r="F2365" t="s">
        <v>2438</v>
      </c>
      <c r="I2365" t="s">
        <v>2446</v>
      </c>
      <c r="J2365" t="s">
        <v>2449</v>
      </c>
      <c r="K2365" t="s">
        <v>2569</v>
      </c>
      <c r="M2365" t="s">
        <v>2616</v>
      </c>
    </row>
    <row r="2366" spans="1:13">
      <c r="A2366" s="1">
        <f>HYPERLINK("https://lsnyc.legalserver.org/matter/dynamic-profile/view/1859423","18-1859423")</f>
        <v>0</v>
      </c>
      <c r="B2366" t="s">
        <v>14</v>
      </c>
      <c r="C2366" t="s">
        <v>43</v>
      </c>
      <c r="D2366" t="s">
        <v>1857</v>
      </c>
      <c r="E2366" t="s">
        <v>2394</v>
      </c>
      <c r="F2366" t="s">
        <v>2439</v>
      </c>
      <c r="J2366" t="s">
        <v>2448</v>
      </c>
      <c r="K2366" t="s">
        <v>2569</v>
      </c>
      <c r="L2366" t="s">
        <v>2602</v>
      </c>
      <c r="M2366" t="s">
        <v>2631</v>
      </c>
    </row>
    <row r="2367" spans="1:13">
      <c r="A2367" s="1">
        <f>HYPERLINK("https://lsnyc.legalserver.org/matter/dynamic-profile/view/1859441","18-1859441")</f>
        <v>0</v>
      </c>
      <c r="B2367" t="s">
        <v>14</v>
      </c>
      <c r="C2367" t="s">
        <v>43</v>
      </c>
      <c r="D2367" t="s">
        <v>1858</v>
      </c>
      <c r="E2367" t="s">
        <v>2390</v>
      </c>
      <c r="F2367" t="s">
        <v>2437</v>
      </c>
      <c r="I2367" t="s">
        <v>2446</v>
      </c>
      <c r="J2367" t="s">
        <v>2448</v>
      </c>
      <c r="K2367" t="s">
        <v>2569</v>
      </c>
      <c r="L2367" t="s">
        <v>2609</v>
      </c>
      <c r="M2367" t="s">
        <v>2619</v>
      </c>
    </row>
    <row r="2368" spans="1:13">
      <c r="A2368" s="1">
        <f>HYPERLINK("https://lsnyc.legalserver.org/matter/dynamic-profile/view/1859334","18-1859334")</f>
        <v>0</v>
      </c>
      <c r="B2368" t="s">
        <v>19</v>
      </c>
      <c r="C2368" t="s">
        <v>38</v>
      </c>
      <c r="D2368" t="s">
        <v>1859</v>
      </c>
      <c r="E2368" t="s">
        <v>2383</v>
      </c>
      <c r="F2368" t="s">
        <v>2437</v>
      </c>
      <c r="I2368" t="s">
        <v>2446</v>
      </c>
      <c r="J2368" t="s">
        <v>2456</v>
      </c>
      <c r="L2368" t="s">
        <v>2600</v>
      </c>
      <c r="M2368" t="s">
        <v>2624</v>
      </c>
    </row>
    <row r="2369" spans="1:13">
      <c r="A2369" s="1">
        <f>HYPERLINK("https://lsnyc.legalserver.org/matter/dynamic-profile/view/1859338","18-1859338")</f>
        <v>0</v>
      </c>
      <c r="B2369" t="s">
        <v>19</v>
      </c>
      <c r="C2369" t="s">
        <v>38</v>
      </c>
      <c r="D2369" t="s">
        <v>1859</v>
      </c>
      <c r="E2369" t="s">
        <v>2383</v>
      </c>
      <c r="F2369" t="s">
        <v>2437</v>
      </c>
      <c r="I2369" t="s">
        <v>2446</v>
      </c>
      <c r="J2369" t="s">
        <v>2456</v>
      </c>
      <c r="L2369" t="s">
        <v>2600</v>
      </c>
      <c r="M2369" t="s">
        <v>2624</v>
      </c>
    </row>
    <row r="2370" spans="1:13">
      <c r="A2370" s="1">
        <f>HYPERLINK("https://lsnyc.legalserver.org/matter/dynamic-profile/view/1859346","18-1859346")</f>
        <v>0</v>
      </c>
      <c r="B2370" t="s">
        <v>16</v>
      </c>
      <c r="C2370" t="s">
        <v>23</v>
      </c>
      <c r="D2370" t="s">
        <v>1860</v>
      </c>
      <c r="E2370" t="s">
        <v>2375</v>
      </c>
      <c r="F2370" t="s">
        <v>2437</v>
      </c>
      <c r="I2370" t="s">
        <v>2446</v>
      </c>
      <c r="J2370" t="s">
        <v>2483</v>
      </c>
      <c r="K2370" t="s">
        <v>2571</v>
      </c>
      <c r="M2370" t="s">
        <v>2617</v>
      </c>
    </row>
    <row r="2371" spans="1:13">
      <c r="A2371" s="1">
        <f>HYPERLINK("https://lsnyc.legalserver.org/matter/dynamic-profile/view/1859398","18-1859398")</f>
        <v>0</v>
      </c>
      <c r="B2371" t="s">
        <v>14</v>
      </c>
      <c r="C2371" t="s">
        <v>20</v>
      </c>
      <c r="D2371" t="s">
        <v>1861</v>
      </c>
      <c r="E2371" t="s">
        <v>2385</v>
      </c>
      <c r="F2371" t="s">
        <v>2437</v>
      </c>
      <c r="I2371" t="s">
        <v>2446</v>
      </c>
      <c r="J2371" t="s">
        <v>2535</v>
      </c>
      <c r="K2371" t="s">
        <v>2572</v>
      </c>
      <c r="L2371" t="s">
        <v>2600</v>
      </c>
      <c r="M2371" t="s">
        <v>2616</v>
      </c>
    </row>
    <row r="2372" spans="1:13">
      <c r="A2372" s="1">
        <f>HYPERLINK("https://lsnyc.legalserver.org/matter/dynamic-profile/view/1859534","18-1859534")</f>
        <v>0</v>
      </c>
      <c r="B2372" t="s">
        <v>15</v>
      </c>
      <c r="C2372" t="s">
        <v>31</v>
      </c>
      <c r="D2372" t="s">
        <v>1862</v>
      </c>
      <c r="E2372" t="s">
        <v>2376</v>
      </c>
      <c r="F2372" t="s">
        <v>2437</v>
      </c>
      <c r="I2372" t="s">
        <v>2446</v>
      </c>
      <c r="J2372" t="s">
        <v>2476</v>
      </c>
      <c r="K2372" t="s">
        <v>2572</v>
      </c>
      <c r="L2372" t="s">
        <v>2600</v>
      </c>
      <c r="M2372" t="s">
        <v>2618</v>
      </c>
    </row>
    <row r="2373" spans="1:13">
      <c r="A2373" s="1">
        <f>HYPERLINK("https://lsnyc.legalserver.org/matter/dynamic-profile/view/1859221","18-1859221")</f>
        <v>0</v>
      </c>
      <c r="B2373" t="s">
        <v>16</v>
      </c>
      <c r="C2373" t="s">
        <v>23</v>
      </c>
      <c r="D2373" t="s">
        <v>1863</v>
      </c>
      <c r="E2373" t="s">
        <v>2390</v>
      </c>
      <c r="K2373" t="s">
        <v>2572</v>
      </c>
      <c r="L2373" t="s">
        <v>2601</v>
      </c>
      <c r="M2373" t="s">
        <v>2631</v>
      </c>
    </row>
    <row r="2374" spans="1:13">
      <c r="A2374" s="1">
        <f>HYPERLINK("https://lsnyc.legalserver.org/matter/dynamic-profile/view/1859271","18-1859271")</f>
        <v>0</v>
      </c>
      <c r="B2374" t="s">
        <v>14</v>
      </c>
      <c r="C2374" t="s">
        <v>43</v>
      </c>
      <c r="D2374" t="s">
        <v>1864</v>
      </c>
      <c r="E2374" t="s">
        <v>2394</v>
      </c>
      <c r="F2374" t="s">
        <v>2439</v>
      </c>
      <c r="I2374" t="s">
        <v>2446</v>
      </c>
      <c r="J2374" t="s">
        <v>2456</v>
      </c>
      <c r="K2374" t="s">
        <v>2572</v>
      </c>
      <c r="L2374" t="s">
        <v>2601</v>
      </c>
      <c r="M2374" t="s">
        <v>2631</v>
      </c>
    </row>
    <row r="2375" spans="1:13">
      <c r="A2375" s="1">
        <f>HYPERLINK("https://lsnyc.legalserver.org/matter/dynamic-profile/view/1859199","18-1859199")</f>
        <v>0</v>
      </c>
      <c r="B2375" t="s">
        <v>15</v>
      </c>
      <c r="C2375" t="s">
        <v>49</v>
      </c>
      <c r="D2375" t="s">
        <v>1865</v>
      </c>
      <c r="E2375" t="s">
        <v>2390</v>
      </c>
      <c r="F2375" t="s">
        <v>2437</v>
      </c>
      <c r="I2375" t="s">
        <v>2446</v>
      </c>
      <c r="J2375" t="s">
        <v>2453</v>
      </c>
      <c r="K2375" t="s">
        <v>2588</v>
      </c>
      <c r="L2375" t="s">
        <v>2601</v>
      </c>
      <c r="M2375" t="s">
        <v>2631</v>
      </c>
    </row>
    <row r="2376" spans="1:13">
      <c r="A2376" s="1">
        <f>HYPERLINK("https://lsnyc.legalserver.org/matter/dynamic-profile/view/1859480","18-1859480")</f>
        <v>0</v>
      </c>
      <c r="B2376" t="s">
        <v>18</v>
      </c>
      <c r="C2376" t="s">
        <v>53</v>
      </c>
      <c r="D2376" t="s">
        <v>1866</v>
      </c>
      <c r="E2376" t="s">
        <v>2390</v>
      </c>
      <c r="F2376" t="s">
        <v>2439</v>
      </c>
      <c r="I2376" t="s">
        <v>2446</v>
      </c>
      <c r="J2376" t="s">
        <v>2448</v>
      </c>
      <c r="K2376" t="s">
        <v>2569</v>
      </c>
      <c r="L2376" t="s">
        <v>2601</v>
      </c>
      <c r="M2376" t="s">
        <v>2631</v>
      </c>
    </row>
    <row r="2377" spans="1:13">
      <c r="A2377" s="1">
        <f>HYPERLINK("https://lsnyc.legalserver.org/matter/dynamic-profile/view/1859179","18-1859179")</f>
        <v>0</v>
      </c>
      <c r="B2377" t="s">
        <v>16</v>
      </c>
      <c r="C2377" t="s">
        <v>23</v>
      </c>
      <c r="D2377" t="s">
        <v>1867</v>
      </c>
      <c r="E2377" t="s">
        <v>2390</v>
      </c>
      <c r="F2377" t="s">
        <v>2437</v>
      </c>
      <c r="I2377" t="s">
        <v>2446</v>
      </c>
      <c r="J2377" t="s">
        <v>2448</v>
      </c>
      <c r="K2377" t="s">
        <v>2569</v>
      </c>
      <c r="M2377" t="s">
        <v>2626</v>
      </c>
    </row>
    <row r="2378" spans="1:13">
      <c r="A2378" s="1">
        <f>HYPERLINK("https://lsnyc.legalserver.org/matter/dynamic-profile/view/1859037","18-1859037")</f>
        <v>0</v>
      </c>
      <c r="B2378" t="s">
        <v>14</v>
      </c>
      <c r="C2378" t="s">
        <v>20</v>
      </c>
      <c r="D2378" t="s">
        <v>1868</v>
      </c>
      <c r="E2378" t="s">
        <v>2370</v>
      </c>
      <c r="F2378" t="s">
        <v>2437</v>
      </c>
      <c r="J2378" t="s">
        <v>2448</v>
      </c>
      <c r="K2378" t="s">
        <v>2569</v>
      </c>
      <c r="L2378" t="s">
        <v>2600</v>
      </c>
      <c r="M2378" t="s">
        <v>2638</v>
      </c>
    </row>
    <row r="2379" spans="1:13">
      <c r="A2379" s="1">
        <f>HYPERLINK("https://lsnyc.legalserver.org/matter/dynamic-profile/view/1859051","18-1859051")</f>
        <v>0</v>
      </c>
      <c r="B2379" t="s">
        <v>16</v>
      </c>
      <c r="C2379" t="s">
        <v>23</v>
      </c>
      <c r="D2379" t="s">
        <v>1869</v>
      </c>
      <c r="E2379" t="s">
        <v>2390</v>
      </c>
      <c r="F2379" t="s">
        <v>2437</v>
      </c>
      <c r="I2379" t="s">
        <v>2446</v>
      </c>
      <c r="J2379" t="s">
        <v>2448</v>
      </c>
      <c r="K2379" t="s">
        <v>2569</v>
      </c>
      <c r="M2379" t="s">
        <v>2619</v>
      </c>
    </row>
    <row r="2380" spans="1:13">
      <c r="A2380" s="1">
        <f>HYPERLINK("https://lsnyc.legalserver.org/matter/dynamic-profile/view/1859083","18-1859083")</f>
        <v>0</v>
      </c>
      <c r="B2380" t="s">
        <v>16</v>
      </c>
      <c r="C2380" t="s">
        <v>23</v>
      </c>
      <c r="D2380" t="s">
        <v>511</v>
      </c>
      <c r="E2380" t="s">
        <v>2390</v>
      </c>
      <c r="F2380" t="s">
        <v>2437</v>
      </c>
      <c r="I2380" t="s">
        <v>2446</v>
      </c>
      <c r="J2380" t="s">
        <v>2448</v>
      </c>
      <c r="K2380" t="s">
        <v>2569</v>
      </c>
      <c r="M2380" t="s">
        <v>2619</v>
      </c>
    </row>
    <row r="2381" spans="1:13">
      <c r="A2381" s="1">
        <f>HYPERLINK("https://lsnyc.legalserver.org/matter/dynamic-profile/view/1859133","18-1859133")</f>
        <v>0</v>
      </c>
      <c r="B2381" t="s">
        <v>14</v>
      </c>
      <c r="C2381" t="s">
        <v>20</v>
      </c>
      <c r="D2381" t="s">
        <v>1870</v>
      </c>
      <c r="E2381" t="s">
        <v>2391</v>
      </c>
      <c r="F2381" t="s">
        <v>2437</v>
      </c>
      <c r="J2381" t="s">
        <v>2485</v>
      </c>
      <c r="K2381" t="s">
        <v>2582</v>
      </c>
      <c r="L2381" t="s">
        <v>2600</v>
      </c>
      <c r="M2381" t="s">
        <v>2615</v>
      </c>
    </row>
    <row r="2382" spans="1:13">
      <c r="A2382" s="1">
        <f>HYPERLINK("https://lsnyc.legalserver.org/matter/dynamic-profile/view/1858963","17-1858963")</f>
        <v>0</v>
      </c>
      <c r="B2382" t="s">
        <v>14</v>
      </c>
      <c r="C2382" t="s">
        <v>20</v>
      </c>
      <c r="D2382" t="s">
        <v>670</v>
      </c>
      <c r="E2382" t="s">
        <v>2390</v>
      </c>
      <c r="F2382" t="s">
        <v>2437</v>
      </c>
      <c r="I2382" t="s">
        <v>2446</v>
      </c>
      <c r="J2382" t="s">
        <v>2448</v>
      </c>
      <c r="K2382" t="s">
        <v>2569</v>
      </c>
      <c r="L2382" t="s">
        <v>2603</v>
      </c>
      <c r="M2382" t="s">
        <v>2619</v>
      </c>
    </row>
    <row r="2383" spans="1:13">
      <c r="A2383" s="1">
        <f>HYPERLINK("https://lsnyc.legalserver.org/matter/dynamic-profile/view/1858885","18-1858885")</f>
        <v>0</v>
      </c>
      <c r="B2383" t="s">
        <v>15</v>
      </c>
      <c r="C2383" t="s">
        <v>55</v>
      </c>
      <c r="D2383" t="s">
        <v>1871</v>
      </c>
      <c r="E2383" t="s">
        <v>2381</v>
      </c>
      <c r="F2383" t="s">
        <v>2437</v>
      </c>
      <c r="I2383" t="s">
        <v>2446</v>
      </c>
      <c r="J2383" t="s">
        <v>2467</v>
      </c>
      <c r="K2383" t="s">
        <v>2572</v>
      </c>
      <c r="L2383" t="s">
        <v>2600</v>
      </c>
      <c r="M2383" t="s">
        <v>2631</v>
      </c>
    </row>
    <row r="2384" spans="1:13">
      <c r="A2384" s="1">
        <f>HYPERLINK("https://lsnyc.legalserver.org/matter/dynamic-profile/view/1858859","18-1858859")</f>
        <v>0</v>
      </c>
      <c r="B2384" t="s">
        <v>16</v>
      </c>
      <c r="C2384" t="s">
        <v>23</v>
      </c>
      <c r="D2384" t="s">
        <v>1646</v>
      </c>
      <c r="E2384" t="s">
        <v>2370</v>
      </c>
      <c r="F2384" t="s">
        <v>2437</v>
      </c>
      <c r="I2384" t="s">
        <v>2446</v>
      </c>
      <c r="J2384" t="s">
        <v>2551</v>
      </c>
      <c r="K2384" t="s">
        <v>2572</v>
      </c>
      <c r="M2384" t="s">
        <v>2626</v>
      </c>
    </row>
    <row r="2385" spans="1:14">
      <c r="A2385" s="1">
        <f>HYPERLINK("https://lsnyc.legalserver.org/matter/dynamic-profile/view/1858865","18-1858865")</f>
        <v>0</v>
      </c>
      <c r="B2385" t="s">
        <v>16</v>
      </c>
      <c r="C2385" t="s">
        <v>23</v>
      </c>
      <c r="D2385" t="s">
        <v>1872</v>
      </c>
      <c r="E2385" t="s">
        <v>2390</v>
      </c>
      <c r="F2385" t="s">
        <v>2437</v>
      </c>
      <c r="I2385" t="s">
        <v>2446</v>
      </c>
      <c r="J2385" t="s">
        <v>2477</v>
      </c>
      <c r="K2385" t="s">
        <v>2572</v>
      </c>
      <c r="M2385" t="s">
        <v>2619</v>
      </c>
    </row>
    <row r="2386" spans="1:14">
      <c r="A2386" s="1">
        <f>HYPERLINK("https://lsnyc.legalserver.org/matter/dynamic-profile/view/1858909","18-1858909")</f>
        <v>0</v>
      </c>
      <c r="B2386" t="s">
        <v>16</v>
      </c>
      <c r="C2386" t="s">
        <v>23</v>
      </c>
      <c r="D2386" t="s">
        <v>1873</v>
      </c>
      <c r="E2386" t="s">
        <v>2381</v>
      </c>
      <c r="F2386" t="s">
        <v>2437</v>
      </c>
      <c r="I2386" t="s">
        <v>2446</v>
      </c>
      <c r="J2386" t="s">
        <v>2518</v>
      </c>
      <c r="K2386" t="s">
        <v>2572</v>
      </c>
      <c r="M2386" t="s">
        <v>2622</v>
      </c>
    </row>
    <row r="2387" spans="1:14">
      <c r="A2387" s="1">
        <f>HYPERLINK("https://lsnyc.legalserver.org/matter/dynamic-profile/view/1858995","18-1858995")</f>
        <v>0</v>
      </c>
      <c r="B2387" t="s">
        <v>16</v>
      </c>
      <c r="C2387" t="s">
        <v>23</v>
      </c>
      <c r="D2387" t="s">
        <v>1642</v>
      </c>
      <c r="E2387" t="s">
        <v>2386</v>
      </c>
      <c r="F2387" t="s">
        <v>2437</v>
      </c>
      <c r="I2387" t="s">
        <v>2446</v>
      </c>
      <c r="J2387" t="s">
        <v>2453</v>
      </c>
      <c r="K2387" t="s">
        <v>2588</v>
      </c>
      <c r="M2387" t="s">
        <v>2627</v>
      </c>
    </row>
    <row r="2388" spans="1:14">
      <c r="A2388" s="1">
        <f>HYPERLINK("https://lsnyc.legalserver.org/matter/dynamic-profile/view/1859241","18-1859241")</f>
        <v>0</v>
      </c>
      <c r="B2388" t="s">
        <v>15</v>
      </c>
      <c r="C2388" t="s">
        <v>32</v>
      </c>
      <c r="D2388" t="s">
        <v>1874</v>
      </c>
      <c r="E2388" t="s">
        <v>2374</v>
      </c>
      <c r="F2388" t="s">
        <v>2438</v>
      </c>
      <c r="J2388" t="s">
        <v>2455</v>
      </c>
      <c r="K2388" t="s">
        <v>2572</v>
      </c>
      <c r="L2388" t="s">
        <v>2600</v>
      </c>
      <c r="M2388" t="s">
        <v>2616</v>
      </c>
      <c r="N2388" t="s">
        <v>2648</v>
      </c>
    </row>
    <row r="2389" spans="1:14">
      <c r="A2389" s="1">
        <f>HYPERLINK("https://lsnyc.legalserver.org/matter/dynamic-profile/view/1858743","18-1858743")</f>
        <v>0</v>
      </c>
      <c r="B2389" t="s">
        <v>16</v>
      </c>
      <c r="C2389" t="s">
        <v>23</v>
      </c>
      <c r="D2389" t="s">
        <v>1875</v>
      </c>
      <c r="F2389" t="s">
        <v>2437</v>
      </c>
      <c r="J2389" t="s">
        <v>2461</v>
      </c>
      <c r="K2389" t="s">
        <v>2574</v>
      </c>
      <c r="L2389" t="s">
        <v>2601</v>
      </c>
      <c r="M2389" t="s">
        <v>2631</v>
      </c>
    </row>
    <row r="2390" spans="1:14">
      <c r="A2390" s="1">
        <f>HYPERLINK("https://lsnyc.legalserver.org/matter/dynamic-profile/view/1858676","18-1858676")</f>
        <v>0</v>
      </c>
      <c r="B2390" t="s">
        <v>16</v>
      </c>
      <c r="C2390" t="s">
        <v>23</v>
      </c>
      <c r="D2390" t="s">
        <v>1100</v>
      </c>
      <c r="E2390" t="s">
        <v>2393</v>
      </c>
      <c r="F2390" t="s">
        <v>2437</v>
      </c>
      <c r="I2390" t="s">
        <v>2446</v>
      </c>
      <c r="J2390" t="s">
        <v>2468</v>
      </c>
      <c r="K2390" t="s">
        <v>2572</v>
      </c>
      <c r="M2390" t="s">
        <v>2637</v>
      </c>
    </row>
    <row r="2391" spans="1:14">
      <c r="A2391" s="1">
        <f>HYPERLINK("https://lsnyc.legalserver.org/matter/dynamic-profile/view/1858684","18-1858684")</f>
        <v>0</v>
      </c>
      <c r="B2391" t="s">
        <v>16</v>
      </c>
      <c r="C2391" t="s">
        <v>23</v>
      </c>
      <c r="D2391" t="s">
        <v>1100</v>
      </c>
      <c r="E2391" t="s">
        <v>2370</v>
      </c>
      <c r="F2391" t="s">
        <v>2437</v>
      </c>
      <c r="I2391" t="s">
        <v>2446</v>
      </c>
      <c r="J2391" t="s">
        <v>2468</v>
      </c>
      <c r="K2391" t="s">
        <v>2572</v>
      </c>
      <c r="M2391" t="s">
        <v>2638</v>
      </c>
    </row>
    <row r="2392" spans="1:14">
      <c r="A2392" s="1">
        <f>HYPERLINK("https://lsnyc.legalserver.org/matter/dynamic-profile/view/1858696","18-1858696")</f>
        <v>0</v>
      </c>
      <c r="B2392" t="s">
        <v>16</v>
      </c>
      <c r="C2392" t="s">
        <v>23</v>
      </c>
      <c r="D2392" t="s">
        <v>955</v>
      </c>
      <c r="E2392" t="s">
        <v>2387</v>
      </c>
      <c r="F2392" t="s">
        <v>2437</v>
      </c>
      <c r="I2392" t="s">
        <v>2446</v>
      </c>
      <c r="J2392" t="s">
        <v>2447</v>
      </c>
      <c r="K2392" t="s">
        <v>2569</v>
      </c>
      <c r="M2392" t="s">
        <v>2629</v>
      </c>
    </row>
    <row r="2393" spans="1:14">
      <c r="A2393" s="1">
        <f>HYPERLINK("https://lsnyc.legalserver.org/matter/dynamic-profile/view/1858753","18-1858753")</f>
        <v>0</v>
      </c>
      <c r="B2393" t="s">
        <v>16</v>
      </c>
      <c r="C2393" t="s">
        <v>23</v>
      </c>
      <c r="D2393" t="s">
        <v>1876</v>
      </c>
      <c r="E2393" t="s">
        <v>2390</v>
      </c>
      <c r="F2393" t="s">
        <v>2437</v>
      </c>
      <c r="I2393" t="s">
        <v>2446</v>
      </c>
      <c r="J2393" t="s">
        <v>2472</v>
      </c>
      <c r="K2393" t="s">
        <v>2578</v>
      </c>
      <c r="M2393" t="s">
        <v>2619</v>
      </c>
    </row>
    <row r="2394" spans="1:14">
      <c r="A2394" s="1">
        <f>HYPERLINK("https://lsnyc.legalserver.org/matter/dynamic-profile/view/1858214","18-1858214")</f>
        <v>0</v>
      </c>
      <c r="B2394" t="s">
        <v>17</v>
      </c>
      <c r="C2394" t="s">
        <v>56</v>
      </c>
      <c r="D2394" t="s">
        <v>1877</v>
      </c>
      <c r="E2394" t="s">
        <v>2376</v>
      </c>
      <c r="F2394" t="s">
        <v>2437</v>
      </c>
      <c r="I2394" t="s">
        <v>2446</v>
      </c>
      <c r="J2394" t="s">
        <v>2457</v>
      </c>
      <c r="K2394" t="s">
        <v>2569</v>
      </c>
      <c r="L2394" t="s">
        <v>2600</v>
      </c>
      <c r="M2394" t="s">
        <v>2618</v>
      </c>
    </row>
    <row r="2395" spans="1:14">
      <c r="A2395" s="1">
        <f>HYPERLINK("https://lsnyc.legalserver.org/matter/dynamic-profile/view/1858217","18-1858217")</f>
        <v>0</v>
      </c>
      <c r="B2395" t="s">
        <v>17</v>
      </c>
      <c r="C2395" t="s">
        <v>56</v>
      </c>
      <c r="D2395" t="s">
        <v>1877</v>
      </c>
      <c r="E2395" t="s">
        <v>2406</v>
      </c>
      <c r="F2395" t="s">
        <v>2437</v>
      </c>
      <c r="I2395" t="s">
        <v>2446</v>
      </c>
      <c r="J2395" t="s">
        <v>2457</v>
      </c>
      <c r="K2395" t="s">
        <v>2569</v>
      </c>
      <c r="L2395" t="s">
        <v>2600</v>
      </c>
      <c r="M2395" t="s">
        <v>2642</v>
      </c>
    </row>
    <row r="2396" spans="1:14">
      <c r="A2396" s="1">
        <f>HYPERLINK("https://lsnyc.legalserver.org/matter/dynamic-profile/view/1858230","18-1858230")</f>
        <v>0</v>
      </c>
      <c r="B2396" t="s">
        <v>17</v>
      </c>
      <c r="C2396" t="s">
        <v>56</v>
      </c>
      <c r="D2396" t="s">
        <v>1878</v>
      </c>
      <c r="E2396" t="s">
        <v>2376</v>
      </c>
      <c r="F2396" t="s">
        <v>2437</v>
      </c>
      <c r="I2396" t="s">
        <v>2446</v>
      </c>
      <c r="J2396" t="s">
        <v>2457</v>
      </c>
      <c r="K2396" t="s">
        <v>2569</v>
      </c>
      <c r="L2396" t="s">
        <v>2600</v>
      </c>
      <c r="M2396" t="s">
        <v>2618</v>
      </c>
    </row>
    <row r="2397" spans="1:14">
      <c r="A2397" s="1">
        <f>HYPERLINK("https://lsnyc.legalserver.org/matter/dynamic-profile/view/1858233","18-1858233")</f>
        <v>0</v>
      </c>
      <c r="B2397" t="s">
        <v>17</v>
      </c>
      <c r="C2397" t="s">
        <v>56</v>
      </c>
      <c r="D2397" t="s">
        <v>1878</v>
      </c>
      <c r="E2397" t="s">
        <v>2406</v>
      </c>
      <c r="F2397" t="s">
        <v>2437</v>
      </c>
      <c r="I2397" t="s">
        <v>2446</v>
      </c>
      <c r="J2397" t="s">
        <v>2457</v>
      </c>
      <c r="K2397" t="s">
        <v>2569</v>
      </c>
      <c r="L2397" t="s">
        <v>2600</v>
      </c>
      <c r="M2397" t="s">
        <v>2642</v>
      </c>
    </row>
    <row r="2398" spans="1:14">
      <c r="A2398" s="1">
        <f>HYPERLINK("https://lsnyc.legalserver.org/matter/dynamic-profile/view/1858241","18-1858241")</f>
        <v>0</v>
      </c>
      <c r="B2398" t="s">
        <v>17</v>
      </c>
      <c r="C2398" t="s">
        <v>56</v>
      </c>
      <c r="D2398" t="s">
        <v>1879</v>
      </c>
      <c r="E2398" t="s">
        <v>2406</v>
      </c>
      <c r="F2398" t="s">
        <v>2437</v>
      </c>
      <c r="I2398" t="s">
        <v>2446</v>
      </c>
      <c r="J2398" t="s">
        <v>2457</v>
      </c>
      <c r="K2398" t="s">
        <v>2569</v>
      </c>
      <c r="L2398" t="s">
        <v>2600</v>
      </c>
      <c r="M2398" t="s">
        <v>2642</v>
      </c>
    </row>
    <row r="2399" spans="1:14">
      <c r="A2399" s="1">
        <f>HYPERLINK("https://lsnyc.legalserver.org/matter/dynamic-profile/view/1858246","18-1858246")</f>
        <v>0</v>
      </c>
      <c r="B2399" t="s">
        <v>17</v>
      </c>
      <c r="C2399" t="s">
        <v>56</v>
      </c>
      <c r="D2399" t="s">
        <v>1880</v>
      </c>
      <c r="E2399" t="s">
        <v>2406</v>
      </c>
      <c r="F2399" t="s">
        <v>2437</v>
      </c>
      <c r="I2399" t="s">
        <v>2446</v>
      </c>
      <c r="J2399" t="s">
        <v>2450</v>
      </c>
      <c r="K2399" t="s">
        <v>2569</v>
      </c>
      <c r="L2399" t="s">
        <v>2600</v>
      </c>
      <c r="M2399" t="s">
        <v>2642</v>
      </c>
    </row>
    <row r="2400" spans="1:14">
      <c r="A2400" s="1">
        <f>HYPERLINK("https://lsnyc.legalserver.org/matter/dynamic-profile/view/1858248","18-1858248")</f>
        <v>0</v>
      </c>
      <c r="B2400" t="s">
        <v>17</v>
      </c>
      <c r="C2400" t="s">
        <v>56</v>
      </c>
      <c r="D2400" t="s">
        <v>1880</v>
      </c>
      <c r="E2400" t="s">
        <v>2376</v>
      </c>
      <c r="F2400" t="s">
        <v>2437</v>
      </c>
      <c r="I2400" t="s">
        <v>2446</v>
      </c>
      <c r="J2400" t="s">
        <v>2450</v>
      </c>
      <c r="K2400" t="s">
        <v>2569</v>
      </c>
      <c r="L2400" t="s">
        <v>2600</v>
      </c>
      <c r="M2400" t="s">
        <v>2618</v>
      </c>
    </row>
    <row r="2401" spans="1:13">
      <c r="A2401" s="1">
        <f>HYPERLINK("https://lsnyc.legalserver.org/matter/dynamic-profile/view/1858250","18-1858250")</f>
        <v>0</v>
      </c>
      <c r="B2401" t="s">
        <v>17</v>
      </c>
      <c r="C2401" t="s">
        <v>56</v>
      </c>
      <c r="D2401" t="s">
        <v>1881</v>
      </c>
      <c r="E2401" t="s">
        <v>2406</v>
      </c>
      <c r="F2401" t="s">
        <v>2437</v>
      </c>
      <c r="I2401" t="s">
        <v>2446</v>
      </c>
      <c r="J2401" t="s">
        <v>2457</v>
      </c>
      <c r="K2401" t="s">
        <v>2572</v>
      </c>
      <c r="M2401" t="s">
        <v>2642</v>
      </c>
    </row>
    <row r="2402" spans="1:13">
      <c r="A2402" s="1">
        <f>HYPERLINK("https://lsnyc.legalserver.org/matter/dynamic-profile/view/1858252","18-1858252")</f>
        <v>0</v>
      </c>
      <c r="B2402" t="s">
        <v>17</v>
      </c>
      <c r="C2402" t="s">
        <v>56</v>
      </c>
      <c r="D2402" t="s">
        <v>1881</v>
      </c>
      <c r="E2402" t="s">
        <v>2376</v>
      </c>
      <c r="F2402" t="s">
        <v>2437</v>
      </c>
      <c r="I2402" t="s">
        <v>2446</v>
      </c>
      <c r="J2402" t="s">
        <v>2457</v>
      </c>
      <c r="K2402" t="s">
        <v>2572</v>
      </c>
      <c r="M2402" t="s">
        <v>2618</v>
      </c>
    </row>
    <row r="2403" spans="1:13">
      <c r="A2403" s="1">
        <f>HYPERLINK("https://lsnyc.legalserver.org/matter/dynamic-profile/view/1858254","18-1858254")</f>
        <v>0</v>
      </c>
      <c r="B2403" t="s">
        <v>17</v>
      </c>
      <c r="C2403" t="s">
        <v>56</v>
      </c>
      <c r="D2403" t="s">
        <v>1882</v>
      </c>
      <c r="E2403" t="s">
        <v>2406</v>
      </c>
      <c r="F2403" t="s">
        <v>2437</v>
      </c>
      <c r="I2403" t="s">
        <v>2446</v>
      </c>
      <c r="J2403" t="s">
        <v>2457</v>
      </c>
      <c r="K2403" t="s">
        <v>2569</v>
      </c>
      <c r="L2403" t="s">
        <v>2600</v>
      </c>
      <c r="M2403" t="s">
        <v>2642</v>
      </c>
    </row>
    <row r="2404" spans="1:13">
      <c r="A2404" s="1">
        <f>HYPERLINK("https://lsnyc.legalserver.org/matter/dynamic-profile/view/1858257","18-1858257")</f>
        <v>0</v>
      </c>
      <c r="B2404" t="s">
        <v>17</v>
      </c>
      <c r="C2404" t="s">
        <v>56</v>
      </c>
      <c r="D2404" t="s">
        <v>1882</v>
      </c>
      <c r="E2404" t="s">
        <v>2376</v>
      </c>
      <c r="F2404" t="s">
        <v>2437</v>
      </c>
      <c r="I2404" t="s">
        <v>2446</v>
      </c>
      <c r="J2404" t="s">
        <v>2457</v>
      </c>
      <c r="K2404" t="s">
        <v>2569</v>
      </c>
      <c r="L2404" t="s">
        <v>2600</v>
      </c>
      <c r="M2404" t="s">
        <v>2618</v>
      </c>
    </row>
    <row r="2405" spans="1:13">
      <c r="A2405" s="1">
        <f>HYPERLINK("https://lsnyc.legalserver.org/matter/dynamic-profile/view/1858260","18-1858260")</f>
        <v>0</v>
      </c>
      <c r="B2405" t="s">
        <v>16</v>
      </c>
      <c r="C2405" t="s">
        <v>23</v>
      </c>
      <c r="D2405" t="s">
        <v>1883</v>
      </c>
      <c r="E2405" t="s">
        <v>2406</v>
      </c>
      <c r="F2405" t="s">
        <v>2437</v>
      </c>
      <c r="I2405" t="s">
        <v>2446</v>
      </c>
      <c r="J2405" t="s">
        <v>2457</v>
      </c>
      <c r="K2405" t="s">
        <v>2569</v>
      </c>
      <c r="L2405" t="s">
        <v>2600</v>
      </c>
      <c r="M2405" t="s">
        <v>2642</v>
      </c>
    </row>
    <row r="2406" spans="1:13">
      <c r="A2406" s="1">
        <f>HYPERLINK("https://lsnyc.legalserver.org/matter/dynamic-profile/view/1858521","18-1858521")</f>
        <v>0</v>
      </c>
      <c r="B2406" t="s">
        <v>14</v>
      </c>
      <c r="C2406" t="s">
        <v>33</v>
      </c>
      <c r="D2406" t="s">
        <v>1884</v>
      </c>
      <c r="E2406" t="s">
        <v>2385</v>
      </c>
      <c r="F2406" t="s">
        <v>2438</v>
      </c>
      <c r="I2406" t="s">
        <v>2446</v>
      </c>
      <c r="J2406" t="s">
        <v>2450</v>
      </c>
      <c r="K2406" t="s">
        <v>2569</v>
      </c>
      <c r="L2406" t="s">
        <v>2600</v>
      </c>
      <c r="M2406" t="s">
        <v>2616</v>
      </c>
    </row>
    <row r="2407" spans="1:13">
      <c r="A2407" s="1">
        <f>HYPERLINK("https://lsnyc.legalserver.org/matter/dynamic-profile/view/1858372","18-1858372")</f>
        <v>0</v>
      </c>
      <c r="B2407" t="s">
        <v>14</v>
      </c>
      <c r="C2407" t="s">
        <v>20</v>
      </c>
      <c r="D2407" t="s">
        <v>1885</v>
      </c>
      <c r="E2407" t="s">
        <v>2390</v>
      </c>
      <c r="F2407" t="s">
        <v>2437</v>
      </c>
      <c r="I2407" t="s">
        <v>2446</v>
      </c>
      <c r="J2407" t="s">
        <v>2485</v>
      </c>
      <c r="K2407" t="s">
        <v>2572</v>
      </c>
      <c r="L2407" t="s">
        <v>2603</v>
      </c>
      <c r="M2407" t="s">
        <v>2619</v>
      </c>
    </row>
    <row r="2408" spans="1:13">
      <c r="A2408" s="1">
        <f>HYPERLINK("https://lsnyc.legalserver.org/matter/dynamic-profile/view/1858414","18-1858414")</f>
        <v>0</v>
      </c>
      <c r="B2408" t="s">
        <v>16</v>
      </c>
      <c r="C2408" t="s">
        <v>23</v>
      </c>
      <c r="D2408" t="s">
        <v>1886</v>
      </c>
      <c r="E2408" t="s">
        <v>2390</v>
      </c>
      <c r="F2408" t="s">
        <v>2437</v>
      </c>
      <c r="I2408" t="s">
        <v>2446</v>
      </c>
      <c r="J2408" t="s">
        <v>2522</v>
      </c>
      <c r="K2408" t="s">
        <v>2578</v>
      </c>
      <c r="L2408" t="s">
        <v>2604</v>
      </c>
      <c r="M2408" t="s">
        <v>2619</v>
      </c>
    </row>
    <row r="2409" spans="1:13">
      <c r="A2409" s="1">
        <f>HYPERLINK("https://lsnyc.legalserver.org/matter/dynamic-profile/view/1858398","18-1858398")</f>
        <v>0</v>
      </c>
      <c r="B2409" t="s">
        <v>16</v>
      </c>
      <c r="C2409" t="s">
        <v>23</v>
      </c>
      <c r="D2409" t="s">
        <v>1655</v>
      </c>
      <c r="E2409" t="s">
        <v>2390</v>
      </c>
      <c r="F2409" t="s">
        <v>2437</v>
      </c>
      <c r="I2409" t="s">
        <v>2446</v>
      </c>
      <c r="J2409" t="s">
        <v>2452</v>
      </c>
      <c r="K2409" t="s">
        <v>2572</v>
      </c>
      <c r="M2409" t="s">
        <v>2619</v>
      </c>
    </row>
    <row r="2410" spans="1:13">
      <c r="A2410" s="1">
        <f>HYPERLINK("https://lsnyc.legalserver.org/matter/dynamic-profile/view/1858404","18-1858404")</f>
        <v>0</v>
      </c>
      <c r="B2410" t="s">
        <v>16</v>
      </c>
      <c r="C2410" t="s">
        <v>23</v>
      </c>
      <c r="D2410" t="s">
        <v>1654</v>
      </c>
      <c r="E2410" t="s">
        <v>2390</v>
      </c>
      <c r="F2410" t="s">
        <v>2437</v>
      </c>
      <c r="I2410" t="s">
        <v>2446</v>
      </c>
      <c r="J2410" t="s">
        <v>2448</v>
      </c>
      <c r="K2410" t="s">
        <v>2569</v>
      </c>
      <c r="L2410" t="s">
        <v>2600</v>
      </c>
      <c r="M2410" t="s">
        <v>2619</v>
      </c>
    </row>
    <row r="2411" spans="1:13">
      <c r="A2411" s="1">
        <f>HYPERLINK("https://lsnyc.legalserver.org/matter/dynamic-profile/view/1858405","18-1858405")</f>
        <v>0</v>
      </c>
      <c r="B2411" t="s">
        <v>17</v>
      </c>
      <c r="C2411" t="s">
        <v>28</v>
      </c>
      <c r="D2411" t="s">
        <v>1887</v>
      </c>
      <c r="E2411" t="s">
        <v>2390</v>
      </c>
      <c r="F2411" t="s">
        <v>2437</v>
      </c>
      <c r="I2411" t="s">
        <v>2446</v>
      </c>
      <c r="J2411" t="s">
        <v>2522</v>
      </c>
      <c r="K2411" t="s">
        <v>2572</v>
      </c>
      <c r="M2411" t="s">
        <v>2619</v>
      </c>
    </row>
    <row r="2412" spans="1:13">
      <c r="A2412" s="1">
        <f>HYPERLINK("https://lsnyc.legalserver.org/matter/dynamic-profile/view/1858410","18-1858410")</f>
        <v>0</v>
      </c>
      <c r="B2412" t="s">
        <v>17</v>
      </c>
      <c r="C2412" t="s">
        <v>28</v>
      </c>
      <c r="D2412" t="s">
        <v>1888</v>
      </c>
      <c r="E2412" t="s">
        <v>2390</v>
      </c>
      <c r="F2412" t="s">
        <v>2437</v>
      </c>
      <c r="I2412" t="s">
        <v>2446</v>
      </c>
      <c r="J2412" t="s">
        <v>2522</v>
      </c>
      <c r="K2412" t="s">
        <v>2572</v>
      </c>
      <c r="M2412" t="s">
        <v>2619</v>
      </c>
    </row>
    <row r="2413" spans="1:13">
      <c r="A2413" s="1">
        <f>HYPERLINK("https://lsnyc.legalserver.org/matter/dynamic-profile/view/1858482","18-1858482")</f>
        <v>0</v>
      </c>
      <c r="B2413" t="s">
        <v>15</v>
      </c>
      <c r="C2413" t="s">
        <v>49</v>
      </c>
      <c r="D2413" t="s">
        <v>1889</v>
      </c>
      <c r="E2413" t="s">
        <v>2381</v>
      </c>
      <c r="F2413" t="s">
        <v>2437</v>
      </c>
      <c r="I2413" t="s">
        <v>2446</v>
      </c>
      <c r="J2413" t="s">
        <v>2477</v>
      </c>
      <c r="K2413" t="s">
        <v>2569</v>
      </c>
      <c r="M2413" t="s">
        <v>2626</v>
      </c>
    </row>
    <row r="2414" spans="1:13">
      <c r="A2414" s="1">
        <f>HYPERLINK("https://lsnyc.legalserver.org/matter/dynamic-profile/view/1858258","18-1858258")</f>
        <v>0</v>
      </c>
      <c r="B2414" t="s">
        <v>15</v>
      </c>
      <c r="C2414" t="s">
        <v>30</v>
      </c>
      <c r="D2414" t="s">
        <v>1890</v>
      </c>
      <c r="E2414" t="s">
        <v>2413</v>
      </c>
      <c r="F2414" t="s">
        <v>2437</v>
      </c>
      <c r="J2414" t="s">
        <v>2457</v>
      </c>
      <c r="K2414" t="s">
        <v>2569</v>
      </c>
      <c r="L2414" t="s">
        <v>2600</v>
      </c>
      <c r="M2414" t="s">
        <v>2629</v>
      </c>
    </row>
    <row r="2415" spans="1:13">
      <c r="A2415" s="1">
        <f>HYPERLINK("https://lsnyc.legalserver.org/matter/dynamic-profile/view/1858139","18-1858139")</f>
        <v>0</v>
      </c>
      <c r="B2415" t="s">
        <v>15</v>
      </c>
      <c r="C2415" t="s">
        <v>55</v>
      </c>
      <c r="D2415" t="s">
        <v>1891</v>
      </c>
      <c r="E2415" t="s">
        <v>2378</v>
      </c>
      <c r="F2415" t="s">
        <v>2437</v>
      </c>
      <c r="I2415" t="s">
        <v>2446</v>
      </c>
      <c r="J2415" t="s">
        <v>2451</v>
      </c>
      <c r="K2415" t="s">
        <v>2572</v>
      </c>
      <c r="L2415" t="s">
        <v>2600</v>
      </c>
      <c r="M2415" t="s">
        <v>2631</v>
      </c>
    </row>
    <row r="2416" spans="1:13">
      <c r="A2416" s="1">
        <f>HYPERLINK("https://lsnyc.legalserver.org/matter/dynamic-profile/view/1858025","18-1858025")</f>
        <v>0</v>
      </c>
      <c r="B2416" t="s">
        <v>18</v>
      </c>
      <c r="C2416" t="s">
        <v>77</v>
      </c>
      <c r="D2416" t="s">
        <v>1892</v>
      </c>
      <c r="E2416" t="s">
        <v>2390</v>
      </c>
      <c r="F2416" t="s">
        <v>2439</v>
      </c>
      <c r="K2416" t="s">
        <v>2572</v>
      </c>
      <c r="L2416" t="s">
        <v>2601</v>
      </c>
      <c r="M2416" t="s">
        <v>2631</v>
      </c>
    </row>
    <row r="2417" spans="1:13">
      <c r="A2417" s="1">
        <f>HYPERLINK("https://lsnyc.legalserver.org/matter/dynamic-profile/view/1858036","18-1858036")</f>
        <v>0</v>
      </c>
      <c r="B2417" t="s">
        <v>15</v>
      </c>
      <c r="C2417" t="s">
        <v>50</v>
      </c>
      <c r="D2417" t="s">
        <v>1893</v>
      </c>
      <c r="E2417" t="s">
        <v>2410</v>
      </c>
      <c r="F2417" t="s">
        <v>2436</v>
      </c>
      <c r="J2417" t="s">
        <v>2522</v>
      </c>
      <c r="K2417" t="s">
        <v>2578</v>
      </c>
      <c r="L2417" t="s">
        <v>2601</v>
      </c>
      <c r="M2417" t="s">
        <v>2631</v>
      </c>
    </row>
    <row r="2418" spans="1:13">
      <c r="A2418" s="1">
        <f>HYPERLINK("https://lsnyc.legalserver.org/matter/dynamic-profile/view/1858040","18-1858040")</f>
        <v>0</v>
      </c>
      <c r="B2418" t="s">
        <v>15</v>
      </c>
      <c r="C2418" t="s">
        <v>50</v>
      </c>
      <c r="D2418" t="s">
        <v>1894</v>
      </c>
      <c r="E2418" t="s">
        <v>2375</v>
      </c>
      <c r="F2418" t="s">
        <v>2439</v>
      </c>
      <c r="J2418" t="s">
        <v>2455</v>
      </c>
      <c r="K2418" t="s">
        <v>2569</v>
      </c>
      <c r="L2418" t="s">
        <v>2601</v>
      </c>
      <c r="M2418" t="s">
        <v>2631</v>
      </c>
    </row>
    <row r="2419" spans="1:13">
      <c r="A2419" s="1">
        <f>HYPERLINK("https://lsnyc.legalserver.org/matter/dynamic-profile/view/1857989","18-1857989")</f>
        <v>0</v>
      </c>
      <c r="B2419" t="s">
        <v>16</v>
      </c>
      <c r="C2419" t="s">
        <v>23</v>
      </c>
      <c r="D2419" t="s">
        <v>1733</v>
      </c>
      <c r="E2419" t="s">
        <v>2390</v>
      </c>
      <c r="F2419" t="s">
        <v>2437</v>
      </c>
      <c r="I2419" t="s">
        <v>2446</v>
      </c>
      <c r="J2419" t="s">
        <v>2457</v>
      </c>
      <c r="K2419" t="s">
        <v>2569</v>
      </c>
      <c r="M2419" t="s">
        <v>2626</v>
      </c>
    </row>
    <row r="2420" spans="1:13">
      <c r="A2420" s="1">
        <f>HYPERLINK("https://lsnyc.legalserver.org/matter/dynamic-profile/view/1857930","18-1857930")</f>
        <v>0</v>
      </c>
      <c r="B2420" t="s">
        <v>17</v>
      </c>
      <c r="C2420" t="s">
        <v>60</v>
      </c>
      <c r="D2420" t="s">
        <v>1895</v>
      </c>
      <c r="E2420" t="s">
        <v>2376</v>
      </c>
      <c r="F2420" t="s">
        <v>2437</v>
      </c>
      <c r="J2420" t="s">
        <v>2449</v>
      </c>
      <c r="K2420" t="s">
        <v>2569</v>
      </c>
      <c r="L2420" t="s">
        <v>2600</v>
      </c>
      <c r="M2420" t="s">
        <v>2618</v>
      </c>
    </row>
    <row r="2421" spans="1:13">
      <c r="A2421" s="1">
        <f>HYPERLINK("https://lsnyc.legalserver.org/matter/dynamic-profile/view/1857931","18-1857931")</f>
        <v>0</v>
      </c>
      <c r="B2421" t="s">
        <v>17</v>
      </c>
      <c r="C2421" t="s">
        <v>60</v>
      </c>
      <c r="D2421" t="s">
        <v>1896</v>
      </c>
      <c r="E2421" t="s">
        <v>2376</v>
      </c>
      <c r="F2421" t="s">
        <v>2437</v>
      </c>
      <c r="J2421" t="s">
        <v>2449</v>
      </c>
      <c r="K2421" t="s">
        <v>2569</v>
      </c>
      <c r="L2421" t="s">
        <v>2600</v>
      </c>
      <c r="M2421" t="s">
        <v>2618</v>
      </c>
    </row>
    <row r="2422" spans="1:13">
      <c r="A2422" s="1">
        <f>HYPERLINK("https://lsnyc.legalserver.org/matter/dynamic-profile/view/1857937","18-1857937")</f>
        <v>0</v>
      </c>
      <c r="B2422" t="s">
        <v>17</v>
      </c>
      <c r="C2422" t="s">
        <v>60</v>
      </c>
      <c r="D2422" t="s">
        <v>1897</v>
      </c>
      <c r="E2422" t="s">
        <v>2376</v>
      </c>
      <c r="F2422" t="s">
        <v>2437</v>
      </c>
      <c r="J2422" t="s">
        <v>2449</v>
      </c>
      <c r="K2422" t="s">
        <v>2569</v>
      </c>
      <c r="L2422" t="s">
        <v>2600</v>
      </c>
      <c r="M2422" t="s">
        <v>2618</v>
      </c>
    </row>
    <row r="2423" spans="1:13">
      <c r="A2423" s="1">
        <f>HYPERLINK("https://lsnyc.legalserver.org/matter/dynamic-profile/view/1857420","18-1857420")</f>
        <v>0</v>
      </c>
      <c r="B2423" t="s">
        <v>15</v>
      </c>
      <c r="C2423" t="s">
        <v>31</v>
      </c>
      <c r="D2423" t="s">
        <v>1898</v>
      </c>
      <c r="E2423" t="s">
        <v>2381</v>
      </c>
      <c r="F2423" t="s">
        <v>2437</v>
      </c>
      <c r="I2423" t="s">
        <v>2446</v>
      </c>
      <c r="J2423" t="s">
        <v>2467</v>
      </c>
      <c r="K2423" t="s">
        <v>2572</v>
      </c>
      <c r="L2423" t="s">
        <v>2600</v>
      </c>
      <c r="M2423" t="s">
        <v>2626</v>
      </c>
    </row>
    <row r="2424" spans="1:13">
      <c r="A2424" s="1">
        <f>HYPERLINK("https://lsnyc.legalserver.org/matter/dynamic-profile/view/1857821","18-1857821")</f>
        <v>0</v>
      </c>
      <c r="B2424" t="s">
        <v>17</v>
      </c>
      <c r="C2424" t="s">
        <v>42</v>
      </c>
      <c r="D2424" t="s">
        <v>1899</v>
      </c>
      <c r="E2424" t="s">
        <v>2374</v>
      </c>
      <c r="F2424" t="s">
        <v>2438</v>
      </c>
      <c r="I2424" t="s">
        <v>2446</v>
      </c>
      <c r="J2424" t="s">
        <v>2449</v>
      </c>
      <c r="K2424" t="s">
        <v>2569</v>
      </c>
      <c r="M2424" t="s">
        <v>2616</v>
      </c>
    </row>
    <row r="2425" spans="1:13">
      <c r="A2425" s="1">
        <f>HYPERLINK("https://lsnyc.legalserver.org/matter/dynamic-profile/view/1857828","18-1857828")</f>
        <v>0</v>
      </c>
      <c r="B2425" t="s">
        <v>17</v>
      </c>
      <c r="C2425" t="s">
        <v>56</v>
      </c>
      <c r="D2425" t="s">
        <v>1900</v>
      </c>
      <c r="E2425" t="s">
        <v>2406</v>
      </c>
      <c r="F2425" t="s">
        <v>2437</v>
      </c>
      <c r="I2425" t="s">
        <v>2446</v>
      </c>
      <c r="J2425" t="s">
        <v>2457</v>
      </c>
      <c r="K2425" t="s">
        <v>2569</v>
      </c>
      <c r="L2425" t="s">
        <v>2600</v>
      </c>
      <c r="M2425" t="s">
        <v>2642</v>
      </c>
    </row>
    <row r="2426" spans="1:13">
      <c r="A2426" s="1">
        <f>HYPERLINK("https://lsnyc.legalserver.org/matter/dynamic-profile/view/1857832","18-1857832")</f>
        <v>0</v>
      </c>
      <c r="B2426" t="s">
        <v>17</v>
      </c>
      <c r="C2426" t="s">
        <v>56</v>
      </c>
      <c r="D2426" t="s">
        <v>1900</v>
      </c>
      <c r="E2426" t="s">
        <v>2376</v>
      </c>
      <c r="F2426" t="s">
        <v>2437</v>
      </c>
      <c r="I2426" t="s">
        <v>2446</v>
      </c>
      <c r="J2426" t="s">
        <v>2457</v>
      </c>
      <c r="K2426" t="s">
        <v>2569</v>
      </c>
      <c r="L2426" t="s">
        <v>2600</v>
      </c>
      <c r="M2426" t="s">
        <v>2618</v>
      </c>
    </row>
    <row r="2427" spans="1:13">
      <c r="A2427" s="1">
        <f>HYPERLINK("https://lsnyc.legalserver.org/matter/dynamic-profile/view/1857835","18-1857835")</f>
        <v>0</v>
      </c>
      <c r="B2427" t="s">
        <v>15</v>
      </c>
      <c r="C2427" t="s">
        <v>46</v>
      </c>
      <c r="D2427" t="s">
        <v>1901</v>
      </c>
      <c r="E2427" t="s">
        <v>2376</v>
      </c>
      <c r="F2427" t="s">
        <v>2437</v>
      </c>
      <c r="J2427" t="s">
        <v>2461</v>
      </c>
      <c r="K2427" t="s">
        <v>2592</v>
      </c>
      <c r="L2427" t="s">
        <v>2603</v>
      </c>
      <c r="M2427" t="s">
        <v>2618</v>
      </c>
    </row>
    <row r="2428" spans="1:13">
      <c r="A2428" s="1">
        <f>HYPERLINK("https://lsnyc.legalserver.org/matter/dynamic-profile/view/1857781","18-1857781")</f>
        <v>0</v>
      </c>
      <c r="B2428" t="s">
        <v>15</v>
      </c>
      <c r="C2428" t="s">
        <v>55</v>
      </c>
      <c r="D2428" t="s">
        <v>1902</v>
      </c>
      <c r="E2428" t="s">
        <v>2381</v>
      </c>
      <c r="F2428" t="s">
        <v>2437</v>
      </c>
      <c r="I2428" t="s">
        <v>2446</v>
      </c>
      <c r="J2428" t="s">
        <v>2447</v>
      </c>
      <c r="K2428" t="s">
        <v>2569</v>
      </c>
      <c r="L2428" t="s">
        <v>2600</v>
      </c>
      <c r="M2428" t="s">
        <v>2631</v>
      </c>
    </row>
    <row r="2429" spans="1:13">
      <c r="A2429" s="1">
        <f>HYPERLINK("https://lsnyc.legalserver.org/matter/dynamic-profile/view/1857853","18-1857853")</f>
        <v>0</v>
      </c>
      <c r="B2429" t="s">
        <v>15</v>
      </c>
      <c r="C2429" t="s">
        <v>37</v>
      </c>
      <c r="D2429" t="s">
        <v>1903</v>
      </c>
      <c r="E2429" t="s">
        <v>2381</v>
      </c>
      <c r="F2429" t="s">
        <v>2437</v>
      </c>
      <c r="I2429" t="s">
        <v>2446</v>
      </c>
      <c r="J2429" t="s">
        <v>2448</v>
      </c>
      <c r="K2429" t="s">
        <v>2569</v>
      </c>
      <c r="L2429" t="s">
        <v>2600</v>
      </c>
      <c r="M2429" t="s">
        <v>2622</v>
      </c>
    </row>
    <row r="2430" spans="1:13">
      <c r="A2430" s="1">
        <f>HYPERLINK("https://lsnyc.legalserver.org/matter/dynamic-profile/view/1857777","18-1857777")</f>
        <v>0</v>
      </c>
      <c r="B2430" t="s">
        <v>19</v>
      </c>
      <c r="C2430" t="s">
        <v>47</v>
      </c>
      <c r="D2430" t="s">
        <v>430</v>
      </c>
      <c r="E2430" t="s">
        <v>2387</v>
      </c>
      <c r="F2430" t="s">
        <v>2437</v>
      </c>
      <c r="I2430" t="s">
        <v>2446</v>
      </c>
      <c r="J2430" t="s">
        <v>2453</v>
      </c>
      <c r="K2430" t="s">
        <v>2587</v>
      </c>
      <c r="L2430" t="s">
        <v>2600</v>
      </c>
      <c r="M2430" t="s">
        <v>2626</v>
      </c>
    </row>
    <row r="2431" spans="1:13">
      <c r="A2431" s="1">
        <f>HYPERLINK("https://lsnyc.legalserver.org/matter/dynamic-profile/view/1857830","18-1857830")</f>
        <v>0</v>
      </c>
      <c r="B2431" t="s">
        <v>16</v>
      </c>
      <c r="C2431" t="s">
        <v>23</v>
      </c>
      <c r="D2431" t="s">
        <v>1904</v>
      </c>
      <c r="E2431" t="s">
        <v>2375</v>
      </c>
      <c r="F2431" t="s">
        <v>2437</v>
      </c>
      <c r="I2431" t="s">
        <v>2446</v>
      </c>
      <c r="J2431" t="s">
        <v>2471</v>
      </c>
      <c r="K2431" t="s">
        <v>2571</v>
      </c>
      <c r="M2431" t="s">
        <v>2617</v>
      </c>
    </row>
    <row r="2432" spans="1:13">
      <c r="A2432" s="1">
        <f>HYPERLINK("https://lsnyc.legalserver.org/matter/dynamic-profile/view/1857681","18-1857681")</f>
        <v>0</v>
      </c>
      <c r="B2432" t="s">
        <v>16</v>
      </c>
      <c r="C2432" t="s">
        <v>77</v>
      </c>
      <c r="D2432" t="s">
        <v>1905</v>
      </c>
      <c r="E2432" t="s">
        <v>2390</v>
      </c>
      <c r="F2432" t="s">
        <v>2436</v>
      </c>
      <c r="K2432" t="s">
        <v>2569</v>
      </c>
      <c r="L2432" t="s">
        <v>2601</v>
      </c>
      <c r="M2432" t="s">
        <v>2631</v>
      </c>
    </row>
    <row r="2433" spans="1:14">
      <c r="A2433" s="1">
        <f>HYPERLINK("https://lsnyc.legalserver.org/matter/dynamic-profile/view/1857714","18-1857714")</f>
        <v>0</v>
      </c>
      <c r="B2433" t="s">
        <v>15</v>
      </c>
      <c r="C2433" t="s">
        <v>37</v>
      </c>
      <c r="D2433" t="s">
        <v>1906</v>
      </c>
      <c r="E2433" t="s">
        <v>2376</v>
      </c>
      <c r="F2433" t="s">
        <v>2437</v>
      </c>
      <c r="I2433" t="s">
        <v>2446</v>
      </c>
      <c r="J2433" t="s">
        <v>2449</v>
      </c>
      <c r="K2433" t="s">
        <v>2569</v>
      </c>
      <c r="L2433" t="s">
        <v>2603</v>
      </c>
      <c r="M2433" t="s">
        <v>2618</v>
      </c>
    </row>
    <row r="2434" spans="1:14">
      <c r="A2434" s="1">
        <f>HYPERLINK("https://lsnyc.legalserver.org/matter/dynamic-profile/view/1857633","18-1857633")</f>
        <v>0</v>
      </c>
      <c r="B2434" t="s">
        <v>19</v>
      </c>
      <c r="C2434" t="s">
        <v>47</v>
      </c>
      <c r="D2434" t="s">
        <v>1907</v>
      </c>
      <c r="E2434" t="s">
        <v>2386</v>
      </c>
      <c r="F2434" t="s">
        <v>2437</v>
      </c>
      <c r="J2434" t="s">
        <v>2452</v>
      </c>
      <c r="K2434" t="s">
        <v>2572</v>
      </c>
      <c r="L2434" t="s">
        <v>2605</v>
      </c>
      <c r="M2434" t="s">
        <v>2627</v>
      </c>
    </row>
    <row r="2435" spans="1:14">
      <c r="A2435" s="1">
        <f>HYPERLINK("https://lsnyc.legalserver.org/matter/dynamic-profile/view/1857573","18-1857573")</f>
        <v>0</v>
      </c>
      <c r="B2435" t="s">
        <v>14</v>
      </c>
      <c r="C2435" t="s">
        <v>20</v>
      </c>
      <c r="D2435" t="s">
        <v>1908</v>
      </c>
      <c r="E2435" t="s">
        <v>2394</v>
      </c>
      <c r="F2435" t="s">
        <v>2437</v>
      </c>
      <c r="I2435" t="s">
        <v>2446</v>
      </c>
      <c r="J2435" t="s">
        <v>2449</v>
      </c>
      <c r="K2435" t="s">
        <v>2572</v>
      </c>
      <c r="L2435" t="s">
        <v>2600</v>
      </c>
      <c r="M2435" t="s">
        <v>2627</v>
      </c>
    </row>
    <row r="2436" spans="1:14">
      <c r="A2436" s="1">
        <f>HYPERLINK("https://lsnyc.legalserver.org/matter/dynamic-profile/view/1857583","18-1857583")</f>
        <v>0</v>
      </c>
      <c r="B2436" t="s">
        <v>14</v>
      </c>
      <c r="C2436" t="s">
        <v>20</v>
      </c>
      <c r="D2436" t="s">
        <v>410</v>
      </c>
      <c r="E2436" t="s">
        <v>2375</v>
      </c>
      <c r="F2436" t="s">
        <v>2438</v>
      </c>
      <c r="J2436" t="s">
        <v>2450</v>
      </c>
      <c r="K2436" t="s">
        <v>2569</v>
      </c>
      <c r="L2436" t="s">
        <v>2600</v>
      </c>
      <c r="M2436" t="s">
        <v>2617</v>
      </c>
    </row>
    <row r="2437" spans="1:14">
      <c r="A2437" s="1">
        <f>HYPERLINK("https://lsnyc.legalserver.org/matter/dynamic-profile/view/1857597","18-1857597")</f>
        <v>0</v>
      </c>
      <c r="B2437" t="s">
        <v>16</v>
      </c>
      <c r="C2437" t="s">
        <v>23</v>
      </c>
      <c r="D2437" t="s">
        <v>1732</v>
      </c>
      <c r="E2437" t="s">
        <v>2390</v>
      </c>
      <c r="F2437" t="s">
        <v>2437</v>
      </c>
      <c r="H2437" t="s">
        <v>2445</v>
      </c>
      <c r="J2437" t="s">
        <v>2452</v>
      </c>
      <c r="K2437" t="s">
        <v>2572</v>
      </c>
      <c r="M2437" t="s">
        <v>2619</v>
      </c>
    </row>
    <row r="2438" spans="1:14">
      <c r="A2438" s="1">
        <f>HYPERLINK("https://lsnyc.legalserver.org/matter/dynamic-profile/view/1857721","18-1857721")</f>
        <v>0</v>
      </c>
      <c r="B2438" t="s">
        <v>16</v>
      </c>
      <c r="C2438" t="s">
        <v>23</v>
      </c>
      <c r="D2438" t="s">
        <v>1909</v>
      </c>
      <c r="E2438" t="s">
        <v>2387</v>
      </c>
      <c r="F2438" t="s">
        <v>2437</v>
      </c>
      <c r="I2438" t="s">
        <v>2446</v>
      </c>
      <c r="J2438" t="s">
        <v>2447</v>
      </c>
      <c r="K2438" t="s">
        <v>2569</v>
      </c>
      <c r="M2438" t="s">
        <v>2629</v>
      </c>
    </row>
    <row r="2439" spans="1:14">
      <c r="A2439" s="1">
        <f>HYPERLINK("https://lsnyc.legalserver.org/matter/dynamic-profile/view/1857545","18-1857545")</f>
        <v>0</v>
      </c>
      <c r="B2439" t="s">
        <v>19</v>
      </c>
      <c r="C2439" t="s">
        <v>38</v>
      </c>
      <c r="D2439" t="s">
        <v>1910</v>
      </c>
      <c r="E2439" t="s">
        <v>2381</v>
      </c>
      <c r="J2439" t="s">
        <v>2452</v>
      </c>
      <c r="K2439" t="s">
        <v>2572</v>
      </c>
      <c r="L2439" t="s">
        <v>2601</v>
      </c>
      <c r="M2439" t="s">
        <v>2631</v>
      </c>
    </row>
    <row r="2440" spans="1:14">
      <c r="A2440" s="1">
        <f>HYPERLINK("https://lsnyc.legalserver.org/matter/dynamic-profile/view/1857502","18-1857502")</f>
        <v>0</v>
      </c>
      <c r="B2440" t="s">
        <v>19</v>
      </c>
      <c r="C2440" t="s">
        <v>62</v>
      </c>
      <c r="D2440" t="s">
        <v>1911</v>
      </c>
      <c r="E2440" t="s">
        <v>2375</v>
      </c>
      <c r="F2440" t="s">
        <v>2437</v>
      </c>
      <c r="J2440" t="s">
        <v>2482</v>
      </c>
      <c r="K2440" t="s">
        <v>2572</v>
      </c>
      <c r="L2440" t="s">
        <v>2603</v>
      </c>
      <c r="M2440" t="s">
        <v>2626</v>
      </c>
    </row>
    <row r="2441" spans="1:14">
      <c r="A2441" s="1">
        <f>HYPERLINK("https://lsnyc.legalserver.org/matter/dynamic-profile/view/1856912","18-1856912")</f>
        <v>0</v>
      </c>
      <c r="B2441" t="s">
        <v>16</v>
      </c>
      <c r="C2441" t="s">
        <v>23</v>
      </c>
      <c r="D2441" t="s">
        <v>1912</v>
      </c>
      <c r="E2441" t="s">
        <v>2390</v>
      </c>
      <c r="F2441" t="s">
        <v>2437</v>
      </c>
      <c r="I2441" t="s">
        <v>2446</v>
      </c>
      <c r="J2441" t="s">
        <v>2453</v>
      </c>
      <c r="K2441" t="s">
        <v>2588</v>
      </c>
      <c r="M2441" t="s">
        <v>2619</v>
      </c>
    </row>
    <row r="2442" spans="1:14">
      <c r="A2442" s="1">
        <f>HYPERLINK("https://lsnyc.legalserver.org/matter/dynamic-profile/view/1857541","18-1857541")</f>
        <v>0</v>
      </c>
      <c r="B2442" t="s">
        <v>16</v>
      </c>
      <c r="C2442" t="s">
        <v>23</v>
      </c>
      <c r="D2442" t="s">
        <v>1913</v>
      </c>
      <c r="E2442" t="s">
        <v>2390</v>
      </c>
      <c r="F2442" t="s">
        <v>2437</v>
      </c>
      <c r="I2442" t="s">
        <v>2446</v>
      </c>
      <c r="J2442" t="s">
        <v>2448</v>
      </c>
      <c r="K2442" t="s">
        <v>2569</v>
      </c>
      <c r="M2442" t="s">
        <v>2619</v>
      </c>
    </row>
    <row r="2443" spans="1:14">
      <c r="A2443" s="1">
        <f>HYPERLINK("https://lsnyc.legalserver.org/matter/dynamic-profile/view/1889636","19-1889636")</f>
        <v>0</v>
      </c>
      <c r="B2443" t="s">
        <v>15</v>
      </c>
      <c r="C2443" t="s">
        <v>32</v>
      </c>
      <c r="D2443" t="s">
        <v>562</v>
      </c>
      <c r="E2443" t="s">
        <v>2374</v>
      </c>
      <c r="F2443" t="s">
        <v>2438</v>
      </c>
      <c r="J2443" t="s">
        <v>2488</v>
      </c>
      <c r="K2443" t="s">
        <v>2569</v>
      </c>
      <c r="L2443" t="s">
        <v>2600</v>
      </c>
      <c r="M2443" t="s">
        <v>2616</v>
      </c>
      <c r="N2443" t="s">
        <v>2648</v>
      </c>
    </row>
    <row r="2444" spans="1:14">
      <c r="A2444" s="1">
        <f>HYPERLINK("https://lsnyc.legalserver.org/matter/dynamic-profile/view/1857328","18-1857328")</f>
        <v>0</v>
      </c>
      <c r="B2444" t="s">
        <v>16</v>
      </c>
      <c r="C2444" t="s">
        <v>23</v>
      </c>
      <c r="D2444" t="s">
        <v>677</v>
      </c>
      <c r="E2444" t="s">
        <v>2375</v>
      </c>
      <c r="F2444" t="s">
        <v>2437</v>
      </c>
      <c r="I2444" t="s">
        <v>2446</v>
      </c>
      <c r="J2444" t="s">
        <v>2452</v>
      </c>
      <c r="K2444" t="s">
        <v>2572</v>
      </c>
      <c r="M2444" t="s">
        <v>2617</v>
      </c>
    </row>
    <row r="2445" spans="1:14">
      <c r="A2445" s="1">
        <f>HYPERLINK("https://lsnyc.legalserver.org/matter/dynamic-profile/view/1857471","18-1857471")</f>
        <v>0</v>
      </c>
      <c r="B2445" t="s">
        <v>17</v>
      </c>
      <c r="C2445" t="s">
        <v>42</v>
      </c>
      <c r="D2445" t="s">
        <v>1914</v>
      </c>
      <c r="E2445" t="s">
        <v>2405</v>
      </c>
      <c r="F2445" t="s">
        <v>2437</v>
      </c>
      <c r="I2445" t="s">
        <v>2446</v>
      </c>
      <c r="J2445" t="s">
        <v>2450</v>
      </c>
      <c r="K2445" t="s">
        <v>2569</v>
      </c>
      <c r="L2445" t="s">
        <v>2600</v>
      </c>
      <c r="M2445" t="s">
        <v>2613</v>
      </c>
    </row>
    <row r="2446" spans="1:14">
      <c r="A2446" s="1">
        <f>HYPERLINK("https://lsnyc.legalserver.org/matter/dynamic-profile/view/1853857","17-1853857")</f>
        <v>0</v>
      </c>
      <c r="B2446" t="s">
        <v>17</v>
      </c>
      <c r="C2446" t="s">
        <v>42</v>
      </c>
      <c r="D2446" t="s">
        <v>1915</v>
      </c>
      <c r="E2446" t="s">
        <v>2374</v>
      </c>
      <c r="F2446" t="s">
        <v>2438</v>
      </c>
      <c r="I2446" t="s">
        <v>2446</v>
      </c>
      <c r="J2446" t="s">
        <v>2450</v>
      </c>
      <c r="K2446" t="s">
        <v>2569</v>
      </c>
      <c r="L2446" t="s">
        <v>2600</v>
      </c>
      <c r="M2446" t="s">
        <v>2616</v>
      </c>
    </row>
    <row r="2447" spans="1:14">
      <c r="A2447" s="1">
        <f>HYPERLINK("https://lsnyc.legalserver.org/matter/dynamic-profile/view/1857090","18-1857090")</f>
        <v>0</v>
      </c>
      <c r="B2447" t="s">
        <v>17</v>
      </c>
      <c r="C2447" t="s">
        <v>28</v>
      </c>
      <c r="D2447" t="s">
        <v>1916</v>
      </c>
      <c r="E2447" t="s">
        <v>2374</v>
      </c>
      <c r="F2447" t="s">
        <v>2438</v>
      </c>
      <c r="I2447" t="s">
        <v>2446</v>
      </c>
      <c r="J2447" t="s">
        <v>2465</v>
      </c>
      <c r="K2447" t="s">
        <v>2569</v>
      </c>
      <c r="M2447" t="s">
        <v>2616</v>
      </c>
    </row>
    <row r="2448" spans="1:14">
      <c r="A2448" s="1">
        <f>HYPERLINK("https://lsnyc.legalserver.org/matter/dynamic-profile/view/1857097","18-1857097")</f>
        <v>0</v>
      </c>
      <c r="B2448" t="s">
        <v>17</v>
      </c>
      <c r="C2448" t="s">
        <v>28</v>
      </c>
      <c r="D2448" t="s">
        <v>1917</v>
      </c>
      <c r="E2448" t="s">
        <v>2374</v>
      </c>
      <c r="F2448" t="s">
        <v>2438</v>
      </c>
      <c r="I2448" t="s">
        <v>2446</v>
      </c>
      <c r="J2448" t="s">
        <v>2465</v>
      </c>
      <c r="K2448" t="s">
        <v>2569</v>
      </c>
      <c r="M2448" t="s">
        <v>2616</v>
      </c>
    </row>
    <row r="2449" spans="1:13">
      <c r="A2449" s="1">
        <f>HYPERLINK("https://lsnyc.legalserver.org/matter/dynamic-profile/view/1856933","18-1856933")</f>
        <v>0</v>
      </c>
      <c r="B2449" t="s">
        <v>18</v>
      </c>
      <c r="C2449" t="s">
        <v>35</v>
      </c>
      <c r="D2449" t="s">
        <v>1918</v>
      </c>
      <c r="E2449" t="s">
        <v>2381</v>
      </c>
      <c r="F2449" t="s">
        <v>2437</v>
      </c>
      <c r="I2449" t="s">
        <v>2446</v>
      </c>
      <c r="J2449" t="s">
        <v>2448</v>
      </c>
      <c r="K2449" t="s">
        <v>2572</v>
      </c>
      <c r="L2449" t="s">
        <v>2603</v>
      </c>
      <c r="M2449" t="s">
        <v>2622</v>
      </c>
    </row>
    <row r="2450" spans="1:13">
      <c r="A2450" s="1">
        <f>HYPERLINK("https://lsnyc.legalserver.org/matter/dynamic-profile/view/1856886","18-1856886")</f>
        <v>0</v>
      </c>
      <c r="B2450" t="s">
        <v>14</v>
      </c>
      <c r="C2450" t="s">
        <v>20</v>
      </c>
      <c r="D2450" t="s">
        <v>1919</v>
      </c>
      <c r="E2450" t="s">
        <v>2399</v>
      </c>
      <c r="F2450" t="s">
        <v>2437</v>
      </c>
      <c r="I2450" t="s">
        <v>2446</v>
      </c>
      <c r="J2450" t="s">
        <v>2457</v>
      </c>
      <c r="K2450" t="s">
        <v>2569</v>
      </c>
      <c r="L2450" t="s">
        <v>2600</v>
      </c>
      <c r="M2450" t="s">
        <v>2621</v>
      </c>
    </row>
    <row r="2451" spans="1:13">
      <c r="A2451" s="1">
        <f>HYPERLINK("https://lsnyc.legalserver.org/matter/dynamic-profile/view/1856887","18-1856887")</f>
        <v>0</v>
      </c>
      <c r="B2451" t="s">
        <v>14</v>
      </c>
      <c r="C2451" t="s">
        <v>20</v>
      </c>
      <c r="D2451" t="s">
        <v>1920</v>
      </c>
      <c r="E2451" t="s">
        <v>2399</v>
      </c>
      <c r="F2451" t="s">
        <v>2437</v>
      </c>
      <c r="I2451" t="s">
        <v>2446</v>
      </c>
      <c r="J2451" t="s">
        <v>2450</v>
      </c>
      <c r="K2451" t="s">
        <v>2569</v>
      </c>
      <c r="L2451" t="s">
        <v>2600</v>
      </c>
      <c r="M2451" t="s">
        <v>2621</v>
      </c>
    </row>
    <row r="2452" spans="1:13">
      <c r="A2452" s="1">
        <f>HYPERLINK("https://lsnyc.legalserver.org/matter/dynamic-profile/view/1856186","18-1856186")</f>
        <v>0</v>
      </c>
      <c r="B2452" t="s">
        <v>17</v>
      </c>
      <c r="C2452" t="s">
        <v>28</v>
      </c>
      <c r="D2452" t="s">
        <v>1095</v>
      </c>
      <c r="E2452" t="s">
        <v>2418</v>
      </c>
      <c r="F2452" t="s">
        <v>2437</v>
      </c>
      <c r="I2452" t="s">
        <v>2446</v>
      </c>
      <c r="J2452" t="s">
        <v>2522</v>
      </c>
      <c r="K2452" t="s">
        <v>2572</v>
      </c>
      <c r="L2452" t="s">
        <v>2600</v>
      </c>
      <c r="M2452" t="s">
        <v>2617</v>
      </c>
    </row>
    <row r="2453" spans="1:13">
      <c r="A2453" s="1">
        <f>HYPERLINK("https://lsnyc.legalserver.org/matter/dynamic-profile/view/1856261","18-1856261")</f>
        <v>0</v>
      </c>
      <c r="B2453" t="s">
        <v>17</v>
      </c>
      <c r="C2453" t="s">
        <v>28</v>
      </c>
      <c r="D2453" t="s">
        <v>1921</v>
      </c>
      <c r="E2453" t="s">
        <v>2374</v>
      </c>
      <c r="F2453" t="s">
        <v>2438</v>
      </c>
      <c r="I2453" t="s">
        <v>2446</v>
      </c>
      <c r="J2453" t="s">
        <v>2450</v>
      </c>
      <c r="K2453" t="s">
        <v>2569</v>
      </c>
      <c r="M2453" t="s">
        <v>2616</v>
      </c>
    </row>
    <row r="2454" spans="1:13">
      <c r="A2454" s="1">
        <f>HYPERLINK("https://lsnyc.legalserver.org/matter/dynamic-profile/view/1856264","18-1856264")</f>
        <v>0</v>
      </c>
      <c r="B2454" t="s">
        <v>17</v>
      </c>
      <c r="C2454" t="s">
        <v>28</v>
      </c>
      <c r="D2454" t="s">
        <v>1922</v>
      </c>
      <c r="E2454" t="s">
        <v>2374</v>
      </c>
      <c r="F2454" t="s">
        <v>2438</v>
      </c>
      <c r="I2454" t="s">
        <v>2446</v>
      </c>
      <c r="J2454" t="s">
        <v>2450</v>
      </c>
      <c r="K2454" t="s">
        <v>2569</v>
      </c>
      <c r="M2454" t="s">
        <v>2616</v>
      </c>
    </row>
    <row r="2455" spans="1:13">
      <c r="A2455" s="1">
        <f>HYPERLINK("https://lsnyc.legalserver.org/matter/dynamic-profile/view/1856963","18-1856963")</f>
        <v>0</v>
      </c>
      <c r="B2455" t="s">
        <v>16</v>
      </c>
      <c r="C2455" t="s">
        <v>23</v>
      </c>
      <c r="D2455" t="s">
        <v>1923</v>
      </c>
      <c r="E2455" t="s">
        <v>2390</v>
      </c>
      <c r="F2455" t="s">
        <v>2437</v>
      </c>
      <c r="I2455" t="s">
        <v>2446</v>
      </c>
      <c r="J2455" t="s">
        <v>2458</v>
      </c>
      <c r="K2455" t="s">
        <v>2569</v>
      </c>
      <c r="M2455" t="s">
        <v>2619</v>
      </c>
    </row>
    <row r="2456" spans="1:13">
      <c r="A2456" s="1">
        <f>HYPERLINK("https://lsnyc.legalserver.org/matter/dynamic-profile/view/1856998","18-1856998")</f>
        <v>0</v>
      </c>
      <c r="B2456" t="s">
        <v>14</v>
      </c>
      <c r="C2456" t="s">
        <v>33</v>
      </c>
      <c r="D2456" t="s">
        <v>1924</v>
      </c>
      <c r="E2456" t="s">
        <v>2385</v>
      </c>
      <c r="F2456" t="s">
        <v>2438</v>
      </c>
      <c r="I2456" t="s">
        <v>2446</v>
      </c>
      <c r="J2456" t="s">
        <v>2450</v>
      </c>
      <c r="K2456" t="s">
        <v>2569</v>
      </c>
      <c r="L2456" t="s">
        <v>2600</v>
      </c>
      <c r="M2456" t="s">
        <v>2616</v>
      </c>
    </row>
    <row r="2457" spans="1:13">
      <c r="A2457" s="1">
        <f>HYPERLINK("https://lsnyc.legalserver.org/matter/dynamic-profile/view/1856753","18-1856753")</f>
        <v>0</v>
      </c>
      <c r="B2457" t="s">
        <v>15</v>
      </c>
      <c r="C2457" t="s">
        <v>49</v>
      </c>
      <c r="D2457" t="s">
        <v>1925</v>
      </c>
      <c r="E2457" t="s">
        <v>2390</v>
      </c>
      <c r="F2457" t="s">
        <v>2439</v>
      </c>
      <c r="I2457" t="s">
        <v>2446</v>
      </c>
      <c r="J2457" t="s">
        <v>2476</v>
      </c>
      <c r="K2457" t="s">
        <v>2572</v>
      </c>
      <c r="L2457" t="s">
        <v>2601</v>
      </c>
      <c r="M2457" t="s">
        <v>2631</v>
      </c>
    </row>
    <row r="2458" spans="1:13">
      <c r="A2458" s="1">
        <f>HYPERLINK("https://lsnyc.legalserver.org/matter/dynamic-profile/view/1856851","18-1856851")</f>
        <v>0</v>
      </c>
      <c r="B2458" t="s">
        <v>19</v>
      </c>
      <c r="C2458" t="s">
        <v>47</v>
      </c>
      <c r="D2458" t="s">
        <v>163</v>
      </c>
      <c r="E2458" t="s">
        <v>2386</v>
      </c>
      <c r="F2458" t="s">
        <v>2437</v>
      </c>
      <c r="I2458" t="s">
        <v>2446</v>
      </c>
      <c r="J2458" t="s">
        <v>2452</v>
      </c>
      <c r="K2458" t="s">
        <v>2572</v>
      </c>
      <c r="L2458" t="s">
        <v>2600</v>
      </c>
      <c r="M2458" t="s">
        <v>2627</v>
      </c>
    </row>
    <row r="2459" spans="1:13">
      <c r="A2459" s="1">
        <f>HYPERLINK("https://lsnyc.legalserver.org/matter/dynamic-profile/view/1856628","18-1856628")</f>
        <v>0</v>
      </c>
      <c r="B2459" t="s">
        <v>16</v>
      </c>
      <c r="C2459" t="s">
        <v>23</v>
      </c>
      <c r="D2459" t="s">
        <v>1926</v>
      </c>
      <c r="E2459" t="s">
        <v>2390</v>
      </c>
      <c r="F2459" t="s">
        <v>2437</v>
      </c>
      <c r="I2459" t="s">
        <v>2446</v>
      </c>
      <c r="J2459" t="s">
        <v>2452</v>
      </c>
      <c r="K2459" t="s">
        <v>2572</v>
      </c>
      <c r="M2459" t="s">
        <v>2626</v>
      </c>
    </row>
    <row r="2460" spans="1:13">
      <c r="A2460" s="1">
        <f>HYPERLINK("https://lsnyc.legalserver.org/matter/dynamic-profile/view/1856443","18-1856443")</f>
        <v>0</v>
      </c>
      <c r="B2460" t="s">
        <v>14</v>
      </c>
      <c r="C2460" t="s">
        <v>20</v>
      </c>
      <c r="D2460" t="s">
        <v>1927</v>
      </c>
      <c r="E2460" t="s">
        <v>2383</v>
      </c>
      <c r="F2460" t="s">
        <v>2440</v>
      </c>
      <c r="J2460" t="s">
        <v>2516</v>
      </c>
      <c r="K2460" t="s">
        <v>2569</v>
      </c>
      <c r="L2460" t="s">
        <v>2602</v>
      </c>
      <c r="M2460" t="s">
        <v>2631</v>
      </c>
    </row>
    <row r="2461" spans="1:13">
      <c r="A2461" s="1">
        <f>HYPERLINK("https://lsnyc.legalserver.org/matter/dynamic-profile/view/1858210","18-1858210")</f>
        <v>0</v>
      </c>
      <c r="B2461" t="s">
        <v>15</v>
      </c>
      <c r="C2461" t="s">
        <v>50</v>
      </c>
      <c r="D2461" t="s">
        <v>1928</v>
      </c>
      <c r="E2461" t="s">
        <v>2393</v>
      </c>
      <c r="F2461" t="s">
        <v>2437</v>
      </c>
      <c r="J2461" t="s">
        <v>2457</v>
      </c>
      <c r="K2461" t="s">
        <v>2569</v>
      </c>
      <c r="L2461" t="s">
        <v>2603</v>
      </c>
      <c r="M2461" t="s">
        <v>2637</v>
      </c>
    </row>
    <row r="2462" spans="1:13">
      <c r="A2462" s="1">
        <f>HYPERLINK("https://lsnyc.legalserver.org/matter/dynamic-profile/view/1856463","18-1856463")</f>
        <v>0</v>
      </c>
      <c r="B2462" t="s">
        <v>19</v>
      </c>
      <c r="C2462" t="s">
        <v>62</v>
      </c>
      <c r="D2462" t="s">
        <v>1929</v>
      </c>
      <c r="E2462" t="s">
        <v>2376</v>
      </c>
      <c r="F2462" t="s">
        <v>2437</v>
      </c>
      <c r="J2462" t="s">
        <v>2457</v>
      </c>
      <c r="K2462" t="s">
        <v>2569</v>
      </c>
      <c r="L2462" t="s">
        <v>2603</v>
      </c>
      <c r="M2462" t="s">
        <v>2626</v>
      </c>
    </row>
    <row r="2463" spans="1:13">
      <c r="A2463" s="1">
        <f>HYPERLINK("https://lsnyc.legalserver.org/matter/dynamic-profile/view/1856476","18-1856476")</f>
        <v>0</v>
      </c>
      <c r="B2463" t="s">
        <v>16</v>
      </c>
      <c r="C2463" t="s">
        <v>23</v>
      </c>
      <c r="D2463" t="s">
        <v>1930</v>
      </c>
      <c r="E2463" t="s">
        <v>2390</v>
      </c>
      <c r="F2463" t="s">
        <v>2439</v>
      </c>
      <c r="I2463" t="s">
        <v>2446</v>
      </c>
      <c r="J2463" t="s">
        <v>2448</v>
      </c>
      <c r="K2463" t="s">
        <v>2569</v>
      </c>
      <c r="L2463" t="s">
        <v>2601</v>
      </c>
      <c r="M2463" t="s">
        <v>2631</v>
      </c>
    </row>
    <row r="2464" spans="1:13">
      <c r="A2464" s="1">
        <f>HYPERLINK("https://lsnyc.legalserver.org/matter/dynamic-profile/view/1856578","18-1856578")</f>
        <v>0</v>
      </c>
      <c r="B2464" t="s">
        <v>15</v>
      </c>
      <c r="C2464" t="s">
        <v>37</v>
      </c>
      <c r="D2464" t="s">
        <v>1931</v>
      </c>
      <c r="E2464" t="s">
        <v>2376</v>
      </c>
      <c r="F2464" t="s">
        <v>2437</v>
      </c>
      <c r="J2464" t="s">
        <v>2522</v>
      </c>
      <c r="K2464" t="s">
        <v>2578</v>
      </c>
      <c r="L2464" t="s">
        <v>2600</v>
      </c>
      <c r="M2464" t="s">
        <v>2618</v>
      </c>
    </row>
    <row r="2465" spans="1:13">
      <c r="A2465" s="1">
        <f>HYPERLINK("https://lsnyc.legalserver.org/matter/dynamic-profile/view/1856469","18-1856469")</f>
        <v>0</v>
      </c>
      <c r="B2465" t="s">
        <v>19</v>
      </c>
      <c r="C2465" t="s">
        <v>62</v>
      </c>
      <c r="D2465" t="s">
        <v>1929</v>
      </c>
      <c r="E2465" t="s">
        <v>2383</v>
      </c>
      <c r="F2465" t="s">
        <v>2437</v>
      </c>
      <c r="I2465" t="s">
        <v>2446</v>
      </c>
      <c r="J2465" t="s">
        <v>2457</v>
      </c>
      <c r="K2465" t="s">
        <v>2569</v>
      </c>
      <c r="L2465" t="s">
        <v>2603</v>
      </c>
      <c r="M2465" t="s">
        <v>2626</v>
      </c>
    </row>
    <row r="2466" spans="1:13">
      <c r="A2466" s="1">
        <f>HYPERLINK("https://lsnyc.legalserver.org/matter/dynamic-profile/view/1856548","18-1856548")</f>
        <v>0</v>
      </c>
      <c r="B2466" t="s">
        <v>14</v>
      </c>
      <c r="C2466" t="s">
        <v>20</v>
      </c>
      <c r="D2466" t="s">
        <v>1932</v>
      </c>
      <c r="E2466" t="s">
        <v>2385</v>
      </c>
      <c r="F2466" t="s">
        <v>2438</v>
      </c>
      <c r="I2466" t="s">
        <v>2446</v>
      </c>
      <c r="J2466" t="s">
        <v>2450</v>
      </c>
      <c r="K2466" t="s">
        <v>2569</v>
      </c>
      <c r="L2466" t="s">
        <v>2600</v>
      </c>
      <c r="M2466" t="s">
        <v>2616</v>
      </c>
    </row>
    <row r="2467" spans="1:13">
      <c r="A2467" s="1">
        <f>HYPERLINK("https://lsnyc.legalserver.org/matter/dynamic-profile/view/1856590","18-1856590")</f>
        <v>0</v>
      </c>
      <c r="B2467" t="s">
        <v>19</v>
      </c>
      <c r="C2467" t="s">
        <v>50</v>
      </c>
      <c r="D2467" t="s">
        <v>1928</v>
      </c>
      <c r="E2467" t="s">
        <v>2428</v>
      </c>
      <c r="F2467" t="s">
        <v>2437</v>
      </c>
      <c r="J2467" t="s">
        <v>2457</v>
      </c>
      <c r="K2467" t="s">
        <v>2569</v>
      </c>
      <c r="L2467" t="s">
        <v>2600</v>
      </c>
      <c r="M2467" t="s">
        <v>2630</v>
      </c>
    </row>
    <row r="2468" spans="1:13">
      <c r="A2468" s="1">
        <f>HYPERLINK("https://lsnyc.legalserver.org/matter/dynamic-profile/view/1856514","18-1856514")</f>
        <v>0</v>
      </c>
      <c r="B2468" t="s">
        <v>19</v>
      </c>
      <c r="C2468" t="s">
        <v>47</v>
      </c>
      <c r="D2468" t="s">
        <v>1933</v>
      </c>
      <c r="E2468" t="s">
        <v>2387</v>
      </c>
      <c r="F2468" t="s">
        <v>2439</v>
      </c>
      <c r="I2468" t="s">
        <v>2446</v>
      </c>
      <c r="J2468" t="s">
        <v>2457</v>
      </c>
      <c r="K2468" t="s">
        <v>2569</v>
      </c>
      <c r="M2468" t="s">
        <v>2641</v>
      </c>
    </row>
    <row r="2469" spans="1:13">
      <c r="A2469" s="1">
        <f>HYPERLINK("https://lsnyc.legalserver.org/matter/dynamic-profile/view/1856545","18-1856545")</f>
        <v>0</v>
      </c>
      <c r="B2469" t="s">
        <v>16</v>
      </c>
      <c r="C2469" t="s">
        <v>46</v>
      </c>
      <c r="D2469" t="s">
        <v>1934</v>
      </c>
      <c r="E2469" t="s">
        <v>2408</v>
      </c>
      <c r="F2469" t="s">
        <v>2437</v>
      </c>
      <c r="I2469" t="s">
        <v>2446</v>
      </c>
      <c r="J2469" t="s">
        <v>2448</v>
      </c>
      <c r="K2469" t="s">
        <v>2569</v>
      </c>
      <c r="L2469" t="s">
        <v>2600</v>
      </c>
      <c r="M2469" t="s">
        <v>2626</v>
      </c>
    </row>
    <row r="2470" spans="1:13">
      <c r="A2470" s="1">
        <f>HYPERLINK("https://lsnyc.legalserver.org/matter/dynamic-profile/view/1856854","18-1856854")</f>
        <v>0</v>
      </c>
      <c r="B2470" t="s">
        <v>15</v>
      </c>
      <c r="C2470" t="s">
        <v>50</v>
      </c>
      <c r="D2470" t="s">
        <v>247</v>
      </c>
      <c r="E2470" t="s">
        <v>2376</v>
      </c>
      <c r="F2470" t="s">
        <v>2437</v>
      </c>
      <c r="J2470" t="s">
        <v>2447</v>
      </c>
      <c r="K2470" t="s">
        <v>2569</v>
      </c>
      <c r="L2470" t="s">
        <v>2603</v>
      </c>
      <c r="M2470" t="s">
        <v>2618</v>
      </c>
    </row>
    <row r="2471" spans="1:13">
      <c r="A2471" s="1">
        <f>HYPERLINK("https://lsnyc.legalserver.org/matter/dynamic-profile/view/1856285","18-1856285")</f>
        <v>0</v>
      </c>
      <c r="B2471" t="s">
        <v>15</v>
      </c>
      <c r="C2471" t="s">
        <v>49</v>
      </c>
      <c r="D2471" t="s">
        <v>1935</v>
      </c>
      <c r="E2471" t="s">
        <v>2390</v>
      </c>
      <c r="F2471" t="s">
        <v>2439</v>
      </c>
      <c r="I2471" t="s">
        <v>2446</v>
      </c>
      <c r="J2471" t="s">
        <v>2461</v>
      </c>
      <c r="K2471" t="s">
        <v>2592</v>
      </c>
      <c r="L2471" t="s">
        <v>2601</v>
      </c>
      <c r="M2471" t="s">
        <v>2631</v>
      </c>
    </row>
    <row r="2472" spans="1:13">
      <c r="A2472" s="1">
        <f>HYPERLINK("https://lsnyc.legalserver.org/matter/dynamic-profile/view/1848964","17-1848964")</f>
        <v>0</v>
      </c>
      <c r="B2472" t="s">
        <v>19</v>
      </c>
      <c r="C2472" t="s">
        <v>38</v>
      </c>
      <c r="D2472" t="s">
        <v>1936</v>
      </c>
      <c r="E2472" t="s">
        <v>2390</v>
      </c>
      <c r="F2472" t="s">
        <v>2437</v>
      </c>
      <c r="I2472" t="s">
        <v>2446</v>
      </c>
      <c r="J2472" t="s">
        <v>2452</v>
      </c>
      <c r="L2472" t="s">
        <v>2600</v>
      </c>
      <c r="M2472" t="s">
        <v>2626</v>
      </c>
    </row>
    <row r="2473" spans="1:13">
      <c r="A2473" s="1">
        <f>HYPERLINK("https://lsnyc.legalserver.org/matter/dynamic-profile/view/1856338","18-1856338")</f>
        <v>0</v>
      </c>
      <c r="B2473" t="s">
        <v>15</v>
      </c>
      <c r="C2473" t="s">
        <v>49</v>
      </c>
      <c r="D2473" t="s">
        <v>1937</v>
      </c>
      <c r="E2473" t="s">
        <v>2390</v>
      </c>
      <c r="F2473" t="s">
        <v>2437</v>
      </c>
      <c r="I2473" t="s">
        <v>2446</v>
      </c>
      <c r="J2473" t="s">
        <v>2465</v>
      </c>
      <c r="K2473" t="s">
        <v>2572</v>
      </c>
      <c r="M2473" t="s">
        <v>2619</v>
      </c>
    </row>
    <row r="2474" spans="1:13">
      <c r="A2474" s="1">
        <f>HYPERLINK("https://lsnyc.legalserver.org/matter/dynamic-profile/view/1856367","18-1856367")</f>
        <v>0</v>
      </c>
      <c r="B2474" t="s">
        <v>15</v>
      </c>
      <c r="C2474" t="s">
        <v>37</v>
      </c>
      <c r="D2474" t="s">
        <v>1060</v>
      </c>
      <c r="E2474" t="s">
        <v>2406</v>
      </c>
      <c r="F2474" t="s">
        <v>2437</v>
      </c>
      <c r="I2474" t="s">
        <v>2446</v>
      </c>
      <c r="J2474" t="s">
        <v>2467</v>
      </c>
      <c r="K2474" t="s">
        <v>2572</v>
      </c>
      <c r="L2474" t="s">
        <v>2600</v>
      </c>
      <c r="M2474" t="s">
        <v>2642</v>
      </c>
    </row>
    <row r="2475" spans="1:13">
      <c r="A2475" s="1">
        <f>HYPERLINK("https://lsnyc.legalserver.org/matter/dynamic-profile/view/1856166","18-1856166")</f>
        <v>0</v>
      </c>
      <c r="B2475" t="s">
        <v>14</v>
      </c>
      <c r="C2475" t="s">
        <v>43</v>
      </c>
      <c r="D2475" t="s">
        <v>1938</v>
      </c>
      <c r="E2475" t="s">
        <v>2381</v>
      </c>
      <c r="F2475" t="s">
        <v>2439</v>
      </c>
      <c r="J2475" t="s">
        <v>2459</v>
      </c>
      <c r="K2475" t="s">
        <v>2572</v>
      </c>
      <c r="L2475" t="s">
        <v>2602</v>
      </c>
      <c r="M2475" t="s">
        <v>2631</v>
      </c>
    </row>
    <row r="2476" spans="1:13">
      <c r="A2476" s="1">
        <f>HYPERLINK("https://lsnyc.legalserver.org/matter/dynamic-profile/view/1856250","18-1856250")</f>
        <v>0</v>
      </c>
      <c r="B2476" t="s">
        <v>14</v>
      </c>
      <c r="C2476" t="s">
        <v>20</v>
      </c>
      <c r="D2476" t="s">
        <v>1762</v>
      </c>
      <c r="E2476" t="s">
        <v>2391</v>
      </c>
      <c r="F2476" t="s">
        <v>2437</v>
      </c>
      <c r="J2476" t="s">
        <v>2450</v>
      </c>
      <c r="K2476" t="s">
        <v>2569</v>
      </c>
      <c r="L2476" t="s">
        <v>2600</v>
      </c>
      <c r="M2476" t="s">
        <v>2615</v>
      </c>
    </row>
    <row r="2477" spans="1:13">
      <c r="A2477" s="1">
        <f>HYPERLINK("https://lsnyc.legalserver.org/matter/dynamic-profile/view/1856030","18-1856030")</f>
        <v>0</v>
      </c>
      <c r="B2477" t="s">
        <v>19</v>
      </c>
      <c r="C2477" t="s">
        <v>62</v>
      </c>
      <c r="D2477" t="s">
        <v>1939</v>
      </c>
      <c r="E2477" t="s">
        <v>2376</v>
      </c>
      <c r="F2477" t="s">
        <v>2437</v>
      </c>
      <c r="J2477" t="s">
        <v>2476</v>
      </c>
      <c r="K2477" t="s">
        <v>2572</v>
      </c>
      <c r="L2477" t="s">
        <v>2603</v>
      </c>
      <c r="M2477" t="s">
        <v>2626</v>
      </c>
    </row>
    <row r="2478" spans="1:13">
      <c r="A2478" s="1">
        <f>HYPERLINK("https://lsnyc.legalserver.org/matter/dynamic-profile/view/1856040","18-1856040")</f>
        <v>0</v>
      </c>
      <c r="B2478" t="s">
        <v>14</v>
      </c>
      <c r="C2478" t="s">
        <v>20</v>
      </c>
      <c r="D2478" t="s">
        <v>234</v>
      </c>
      <c r="E2478" t="s">
        <v>2382</v>
      </c>
      <c r="F2478" t="s">
        <v>2437</v>
      </c>
      <c r="I2478" t="s">
        <v>2446</v>
      </c>
      <c r="J2478" t="s">
        <v>2450</v>
      </c>
      <c r="K2478" t="s">
        <v>2569</v>
      </c>
      <c r="L2478" t="s">
        <v>2603</v>
      </c>
      <c r="M2478" t="s">
        <v>2623</v>
      </c>
    </row>
    <row r="2479" spans="1:13">
      <c r="A2479" s="1">
        <f>HYPERLINK("https://lsnyc.legalserver.org/matter/dynamic-profile/view/1856037","18-1856037")</f>
        <v>0</v>
      </c>
      <c r="B2479" t="s">
        <v>19</v>
      </c>
      <c r="C2479" t="s">
        <v>38</v>
      </c>
      <c r="D2479" t="s">
        <v>1841</v>
      </c>
      <c r="E2479" t="s">
        <v>2386</v>
      </c>
      <c r="F2479" t="s">
        <v>2437</v>
      </c>
      <c r="I2479" t="s">
        <v>2446</v>
      </c>
      <c r="J2479" t="s">
        <v>2490</v>
      </c>
      <c r="L2479" t="s">
        <v>2600</v>
      </c>
      <c r="M2479" t="s">
        <v>2627</v>
      </c>
    </row>
    <row r="2480" spans="1:13">
      <c r="A2480" s="1">
        <f>HYPERLINK("https://lsnyc.legalserver.org/matter/dynamic-profile/view/1856077","18-1856077")</f>
        <v>0</v>
      </c>
      <c r="B2480" t="s">
        <v>16</v>
      </c>
      <c r="C2480" t="s">
        <v>23</v>
      </c>
      <c r="D2480" t="s">
        <v>1940</v>
      </c>
      <c r="E2480" t="s">
        <v>2390</v>
      </c>
      <c r="F2480" t="s">
        <v>2437</v>
      </c>
      <c r="I2480" t="s">
        <v>2446</v>
      </c>
      <c r="J2480" t="s">
        <v>2452</v>
      </c>
      <c r="K2480" t="s">
        <v>2572</v>
      </c>
      <c r="L2480" t="s">
        <v>2600</v>
      </c>
      <c r="M2480" t="s">
        <v>2619</v>
      </c>
    </row>
    <row r="2481" spans="1:14">
      <c r="A2481" s="1">
        <f>HYPERLINK("https://lsnyc.legalserver.org/matter/dynamic-profile/view/1855838","18-1855838")</f>
        <v>0</v>
      </c>
      <c r="B2481" t="s">
        <v>16</v>
      </c>
      <c r="C2481" t="s">
        <v>77</v>
      </c>
      <c r="D2481" t="s">
        <v>1941</v>
      </c>
      <c r="E2481" t="s">
        <v>2390</v>
      </c>
      <c r="F2481" t="s">
        <v>2436</v>
      </c>
      <c r="K2481" t="s">
        <v>2572</v>
      </c>
      <c r="L2481" t="s">
        <v>2601</v>
      </c>
      <c r="M2481" t="s">
        <v>2631</v>
      </c>
    </row>
    <row r="2482" spans="1:14">
      <c r="A2482" s="1">
        <f>HYPERLINK("https://lsnyc.legalserver.org/matter/dynamic-profile/view/1855822","18-1855822")</f>
        <v>0</v>
      </c>
      <c r="B2482" t="s">
        <v>15</v>
      </c>
      <c r="C2482" t="s">
        <v>37</v>
      </c>
      <c r="D2482" t="s">
        <v>655</v>
      </c>
      <c r="E2482" t="s">
        <v>2376</v>
      </c>
      <c r="F2482" t="s">
        <v>2437</v>
      </c>
      <c r="J2482" t="s">
        <v>2450</v>
      </c>
      <c r="K2482" t="s">
        <v>2569</v>
      </c>
      <c r="L2482" t="s">
        <v>2603</v>
      </c>
      <c r="M2482" t="s">
        <v>2626</v>
      </c>
    </row>
    <row r="2483" spans="1:14">
      <c r="A2483" s="1">
        <f>HYPERLINK("https://lsnyc.legalserver.org/matter/dynamic-profile/view/1855818","18-1855818")</f>
        <v>0</v>
      </c>
      <c r="B2483" t="s">
        <v>15</v>
      </c>
      <c r="C2483" t="s">
        <v>30</v>
      </c>
      <c r="D2483" t="s">
        <v>1942</v>
      </c>
      <c r="E2483" t="s">
        <v>2387</v>
      </c>
      <c r="F2483" t="s">
        <v>2440</v>
      </c>
      <c r="J2483" t="s">
        <v>2492</v>
      </c>
      <c r="K2483" t="s">
        <v>2569</v>
      </c>
      <c r="L2483" t="s">
        <v>2602</v>
      </c>
      <c r="M2483" t="s">
        <v>2641</v>
      </c>
    </row>
    <row r="2484" spans="1:14">
      <c r="A2484" s="1">
        <f>HYPERLINK("https://lsnyc.legalserver.org/matter/dynamic-profile/view/1855698","18-1855698")</f>
        <v>0</v>
      </c>
      <c r="B2484" t="s">
        <v>14</v>
      </c>
      <c r="C2484" t="s">
        <v>20</v>
      </c>
      <c r="D2484" t="s">
        <v>1943</v>
      </c>
      <c r="E2484" t="s">
        <v>2371</v>
      </c>
      <c r="F2484" t="s">
        <v>2437</v>
      </c>
      <c r="J2484" t="s">
        <v>2450</v>
      </c>
      <c r="K2484" t="s">
        <v>2569</v>
      </c>
      <c r="L2484" t="s">
        <v>2600</v>
      </c>
      <c r="M2484" t="s">
        <v>2612</v>
      </c>
    </row>
    <row r="2485" spans="1:14">
      <c r="A2485" s="1">
        <f>HYPERLINK("https://lsnyc.legalserver.org/matter/dynamic-profile/view/1855689","18-1855689")</f>
        <v>0</v>
      </c>
      <c r="B2485" t="s">
        <v>16</v>
      </c>
      <c r="C2485" t="s">
        <v>23</v>
      </c>
      <c r="D2485" t="s">
        <v>1944</v>
      </c>
      <c r="E2485" t="s">
        <v>2390</v>
      </c>
      <c r="F2485" t="s">
        <v>2437</v>
      </c>
      <c r="I2485" t="s">
        <v>2446</v>
      </c>
      <c r="J2485" t="s">
        <v>2448</v>
      </c>
      <c r="K2485" t="s">
        <v>2569</v>
      </c>
      <c r="M2485" t="s">
        <v>2626</v>
      </c>
    </row>
    <row r="2486" spans="1:14">
      <c r="A2486" s="1">
        <f>HYPERLINK("https://lsnyc.legalserver.org/matter/dynamic-profile/view/1855706","18-1855706")</f>
        <v>0</v>
      </c>
      <c r="B2486" t="s">
        <v>14</v>
      </c>
      <c r="C2486" t="s">
        <v>21</v>
      </c>
      <c r="D2486" t="s">
        <v>1945</v>
      </c>
      <c r="E2486" t="s">
        <v>2371</v>
      </c>
      <c r="F2486" t="s">
        <v>2437</v>
      </c>
      <c r="I2486" t="s">
        <v>2446</v>
      </c>
      <c r="J2486" t="s">
        <v>2452</v>
      </c>
      <c r="K2486" t="s">
        <v>2572</v>
      </c>
      <c r="L2486" t="s">
        <v>2600</v>
      </c>
      <c r="M2486" t="s">
        <v>2612</v>
      </c>
      <c r="N2486" t="s">
        <v>2648</v>
      </c>
    </row>
    <row r="2487" spans="1:14">
      <c r="A2487" s="1">
        <f>HYPERLINK("https://lsnyc.legalserver.org/matter/dynamic-profile/view/1855500","18-1855500")</f>
        <v>0</v>
      </c>
      <c r="B2487" t="s">
        <v>15</v>
      </c>
      <c r="C2487" t="s">
        <v>55</v>
      </c>
      <c r="D2487" t="s">
        <v>1946</v>
      </c>
      <c r="E2487" t="s">
        <v>2381</v>
      </c>
      <c r="F2487" t="s">
        <v>2439</v>
      </c>
      <c r="I2487" t="s">
        <v>2446</v>
      </c>
      <c r="J2487" t="s">
        <v>2505</v>
      </c>
      <c r="K2487" t="s">
        <v>2572</v>
      </c>
      <c r="L2487" t="s">
        <v>2601</v>
      </c>
      <c r="M2487" t="s">
        <v>2631</v>
      </c>
    </row>
    <row r="2488" spans="1:14">
      <c r="A2488" s="1">
        <f>HYPERLINK("https://lsnyc.legalserver.org/matter/dynamic-profile/view/1855477","18-1855477")</f>
        <v>0</v>
      </c>
      <c r="B2488" t="s">
        <v>15</v>
      </c>
      <c r="C2488" t="s">
        <v>78</v>
      </c>
      <c r="D2488" t="s">
        <v>1947</v>
      </c>
      <c r="E2488" t="s">
        <v>2375</v>
      </c>
      <c r="F2488" t="s">
        <v>2439</v>
      </c>
      <c r="K2488" t="s">
        <v>2569</v>
      </c>
      <c r="L2488" t="s">
        <v>2601</v>
      </c>
      <c r="M2488" t="s">
        <v>2631</v>
      </c>
    </row>
    <row r="2489" spans="1:14">
      <c r="A2489" s="1">
        <f>HYPERLINK("https://lsnyc.legalserver.org/matter/dynamic-profile/view/1855513","18-1855513")</f>
        <v>0</v>
      </c>
      <c r="B2489" t="s">
        <v>16</v>
      </c>
      <c r="C2489" t="s">
        <v>23</v>
      </c>
      <c r="D2489" t="s">
        <v>1948</v>
      </c>
      <c r="E2489" t="s">
        <v>2375</v>
      </c>
      <c r="F2489" t="s">
        <v>2437</v>
      </c>
      <c r="I2489" t="s">
        <v>2446</v>
      </c>
      <c r="J2489" t="s">
        <v>2488</v>
      </c>
      <c r="K2489" t="s">
        <v>2569</v>
      </c>
      <c r="M2489" t="s">
        <v>2617</v>
      </c>
    </row>
    <row r="2490" spans="1:14">
      <c r="A2490" s="1">
        <f>HYPERLINK("https://lsnyc.legalserver.org/matter/dynamic-profile/view/1855543","18-1855543")</f>
        <v>0</v>
      </c>
      <c r="B2490" t="s">
        <v>16</v>
      </c>
      <c r="C2490" t="s">
        <v>23</v>
      </c>
      <c r="D2490" t="s">
        <v>1949</v>
      </c>
      <c r="E2490" t="s">
        <v>2408</v>
      </c>
      <c r="F2490" t="s">
        <v>2437</v>
      </c>
      <c r="I2490" t="s">
        <v>2446</v>
      </c>
      <c r="J2490" t="s">
        <v>2452</v>
      </c>
      <c r="K2490" t="s">
        <v>2572</v>
      </c>
      <c r="M2490" t="s">
        <v>2619</v>
      </c>
    </row>
    <row r="2491" spans="1:14">
      <c r="A2491" s="1">
        <f>HYPERLINK("https://lsnyc.legalserver.org/matter/dynamic-profile/view/1855605","18-1855605")</f>
        <v>0</v>
      </c>
      <c r="B2491" t="s">
        <v>16</v>
      </c>
      <c r="C2491" t="s">
        <v>23</v>
      </c>
      <c r="D2491" t="s">
        <v>923</v>
      </c>
      <c r="E2491" t="s">
        <v>2408</v>
      </c>
      <c r="F2491" t="s">
        <v>2437</v>
      </c>
      <c r="I2491" t="s">
        <v>2446</v>
      </c>
      <c r="J2491" t="s">
        <v>2485</v>
      </c>
      <c r="K2491" t="s">
        <v>2572</v>
      </c>
      <c r="M2491" t="s">
        <v>2626</v>
      </c>
    </row>
    <row r="2492" spans="1:14">
      <c r="A2492" s="1">
        <f>HYPERLINK("https://lsnyc.legalserver.org/matter/dynamic-profile/view/1855394","18-1855394")</f>
        <v>0</v>
      </c>
      <c r="B2492" t="s">
        <v>16</v>
      </c>
      <c r="C2492" t="s">
        <v>24</v>
      </c>
      <c r="D2492" t="s">
        <v>1950</v>
      </c>
      <c r="E2492" t="s">
        <v>2390</v>
      </c>
      <c r="F2492" t="s">
        <v>2439</v>
      </c>
      <c r="I2492" t="s">
        <v>2446</v>
      </c>
      <c r="J2492" t="s">
        <v>2481</v>
      </c>
      <c r="K2492" t="s">
        <v>2572</v>
      </c>
      <c r="L2492" t="s">
        <v>2601</v>
      </c>
      <c r="M2492" t="s">
        <v>2631</v>
      </c>
    </row>
    <row r="2493" spans="1:14">
      <c r="A2493" s="1">
        <f>HYPERLINK("https://lsnyc.legalserver.org/matter/dynamic-profile/view/1852725","17-1852725")</f>
        <v>0</v>
      </c>
      <c r="B2493" t="s">
        <v>16</v>
      </c>
      <c r="C2493" t="s">
        <v>23</v>
      </c>
      <c r="D2493" t="s">
        <v>1309</v>
      </c>
      <c r="E2493" t="s">
        <v>2390</v>
      </c>
      <c r="F2493" t="s">
        <v>2437</v>
      </c>
      <c r="I2493" t="s">
        <v>2446</v>
      </c>
      <c r="J2493" t="s">
        <v>2457</v>
      </c>
      <c r="K2493" t="s">
        <v>2569</v>
      </c>
      <c r="M2493" t="s">
        <v>2626</v>
      </c>
    </row>
    <row r="2494" spans="1:14">
      <c r="A2494" s="1">
        <f>HYPERLINK("https://lsnyc.legalserver.org/matter/dynamic-profile/view/1853018","17-1853018")</f>
        <v>0</v>
      </c>
      <c r="B2494" t="s">
        <v>17</v>
      </c>
      <c r="C2494" t="s">
        <v>36</v>
      </c>
      <c r="D2494" t="s">
        <v>1951</v>
      </c>
      <c r="E2494" t="s">
        <v>2385</v>
      </c>
      <c r="F2494" t="s">
        <v>2438</v>
      </c>
      <c r="I2494" t="s">
        <v>2446</v>
      </c>
      <c r="J2494" t="s">
        <v>2465</v>
      </c>
      <c r="K2494" t="s">
        <v>2569</v>
      </c>
      <c r="L2494" t="s">
        <v>2600</v>
      </c>
      <c r="M2494" t="s">
        <v>2616</v>
      </c>
    </row>
    <row r="2495" spans="1:14">
      <c r="A2495" s="1">
        <f>HYPERLINK("https://lsnyc.legalserver.org/matter/dynamic-profile/view/1853057","17-1853057")</f>
        <v>0</v>
      </c>
      <c r="B2495" t="s">
        <v>17</v>
      </c>
      <c r="C2495" t="s">
        <v>28</v>
      </c>
      <c r="D2495" t="s">
        <v>1952</v>
      </c>
      <c r="E2495" t="s">
        <v>2387</v>
      </c>
      <c r="F2495" t="s">
        <v>2437</v>
      </c>
      <c r="I2495" t="s">
        <v>2446</v>
      </c>
      <c r="J2495" t="s">
        <v>2457</v>
      </c>
      <c r="K2495" t="s">
        <v>2569</v>
      </c>
      <c r="M2495" t="s">
        <v>2629</v>
      </c>
    </row>
    <row r="2496" spans="1:14">
      <c r="A2496" s="1">
        <f>HYPERLINK("https://lsnyc.legalserver.org/matter/dynamic-profile/view/1855379","18-1855379")</f>
        <v>0</v>
      </c>
      <c r="B2496" t="s">
        <v>16</v>
      </c>
      <c r="C2496" t="s">
        <v>23</v>
      </c>
      <c r="D2496" t="s">
        <v>1953</v>
      </c>
      <c r="E2496" t="s">
        <v>2375</v>
      </c>
      <c r="F2496" t="s">
        <v>2437</v>
      </c>
      <c r="I2496" t="s">
        <v>2446</v>
      </c>
      <c r="J2496" t="s">
        <v>2452</v>
      </c>
      <c r="K2496" t="s">
        <v>2572</v>
      </c>
      <c r="M2496" t="s">
        <v>2617</v>
      </c>
    </row>
    <row r="2497" spans="1:13">
      <c r="A2497" s="1">
        <f>HYPERLINK("https://lsnyc.legalserver.org/matter/dynamic-profile/view/1855257","18-1855257")</f>
        <v>0</v>
      </c>
      <c r="B2497" t="s">
        <v>15</v>
      </c>
      <c r="C2497" t="s">
        <v>55</v>
      </c>
      <c r="D2497" t="s">
        <v>1954</v>
      </c>
      <c r="E2497" t="s">
        <v>2381</v>
      </c>
      <c r="F2497" t="s">
        <v>2440</v>
      </c>
      <c r="I2497" t="s">
        <v>2446</v>
      </c>
      <c r="J2497" t="s">
        <v>2448</v>
      </c>
      <c r="K2497" t="s">
        <v>2572</v>
      </c>
      <c r="L2497" t="s">
        <v>2602</v>
      </c>
      <c r="M2497" t="s">
        <v>2631</v>
      </c>
    </row>
    <row r="2498" spans="1:13">
      <c r="A2498" s="1">
        <f>HYPERLINK("https://lsnyc.legalserver.org/matter/dynamic-profile/view/1855291","18-1855291")</f>
        <v>0</v>
      </c>
      <c r="B2498" t="s">
        <v>19</v>
      </c>
      <c r="C2498" t="s">
        <v>50</v>
      </c>
      <c r="D2498" t="s">
        <v>936</v>
      </c>
      <c r="E2498" t="s">
        <v>2374</v>
      </c>
      <c r="F2498" t="s">
        <v>2438</v>
      </c>
      <c r="I2498" t="s">
        <v>2446</v>
      </c>
      <c r="J2498" t="s">
        <v>2476</v>
      </c>
      <c r="K2498" t="s">
        <v>2572</v>
      </c>
      <c r="M2498" t="s">
        <v>2626</v>
      </c>
    </row>
    <row r="2499" spans="1:13">
      <c r="A2499" s="1">
        <f>HYPERLINK("https://lsnyc.legalserver.org/matter/dynamic-profile/view/1855196","18-1855196")</f>
        <v>0</v>
      </c>
      <c r="B2499" t="s">
        <v>19</v>
      </c>
      <c r="C2499" t="s">
        <v>38</v>
      </c>
      <c r="D2499" t="s">
        <v>979</v>
      </c>
      <c r="E2499" t="s">
        <v>2378</v>
      </c>
      <c r="F2499" t="s">
        <v>2437</v>
      </c>
      <c r="J2499" t="s">
        <v>2556</v>
      </c>
      <c r="K2499" t="s">
        <v>2572</v>
      </c>
      <c r="L2499" t="s">
        <v>2601</v>
      </c>
      <c r="M2499" t="s">
        <v>2631</v>
      </c>
    </row>
    <row r="2500" spans="1:13">
      <c r="A2500" s="1">
        <f>HYPERLINK("https://lsnyc.legalserver.org/matter/dynamic-profile/view/1855114","18-1855114")</f>
        <v>0</v>
      </c>
      <c r="B2500" t="s">
        <v>19</v>
      </c>
      <c r="C2500" t="s">
        <v>27</v>
      </c>
      <c r="D2500" t="s">
        <v>1955</v>
      </c>
      <c r="E2500" t="s">
        <v>2407</v>
      </c>
      <c r="F2500" t="s">
        <v>2437</v>
      </c>
      <c r="J2500" t="s">
        <v>2452</v>
      </c>
      <c r="K2500" t="s">
        <v>2572</v>
      </c>
      <c r="L2500" t="s">
        <v>2603</v>
      </c>
      <c r="M2500" t="s">
        <v>2626</v>
      </c>
    </row>
    <row r="2501" spans="1:13">
      <c r="A2501" s="1">
        <f>HYPERLINK("https://lsnyc.legalserver.org/matter/dynamic-profile/view/1855126","18-1855126")</f>
        <v>0</v>
      </c>
      <c r="B2501" t="s">
        <v>19</v>
      </c>
      <c r="C2501" t="s">
        <v>27</v>
      </c>
      <c r="D2501" t="s">
        <v>1955</v>
      </c>
      <c r="E2501" t="s">
        <v>2393</v>
      </c>
      <c r="F2501" t="s">
        <v>2437</v>
      </c>
      <c r="J2501" t="s">
        <v>2452</v>
      </c>
      <c r="K2501" t="s">
        <v>2572</v>
      </c>
      <c r="L2501" t="s">
        <v>2603</v>
      </c>
      <c r="M2501" t="s">
        <v>2626</v>
      </c>
    </row>
    <row r="2502" spans="1:13">
      <c r="A2502" s="1">
        <f>HYPERLINK("https://lsnyc.legalserver.org/matter/dynamic-profile/view/1855082","18-1855082")</f>
        <v>0</v>
      </c>
      <c r="B2502" t="s">
        <v>14</v>
      </c>
      <c r="C2502" t="s">
        <v>20</v>
      </c>
      <c r="D2502" t="s">
        <v>1956</v>
      </c>
      <c r="E2502" t="s">
        <v>2385</v>
      </c>
      <c r="F2502" t="s">
        <v>2438</v>
      </c>
      <c r="I2502" t="s">
        <v>2446</v>
      </c>
      <c r="J2502" t="s">
        <v>2448</v>
      </c>
      <c r="K2502" t="s">
        <v>2569</v>
      </c>
      <c r="L2502" t="s">
        <v>2600</v>
      </c>
      <c r="M2502" t="s">
        <v>2616</v>
      </c>
    </row>
    <row r="2503" spans="1:13">
      <c r="A2503" s="1">
        <f>HYPERLINK("https://lsnyc.legalserver.org/matter/dynamic-profile/view/1854957","18-1854957")</f>
        <v>0</v>
      </c>
      <c r="B2503" t="s">
        <v>19</v>
      </c>
      <c r="C2503" t="s">
        <v>38</v>
      </c>
      <c r="D2503" t="s">
        <v>1957</v>
      </c>
      <c r="E2503" t="s">
        <v>2390</v>
      </c>
      <c r="F2503" t="s">
        <v>2437</v>
      </c>
      <c r="I2503" t="s">
        <v>2446</v>
      </c>
      <c r="J2503" t="s">
        <v>2500</v>
      </c>
      <c r="K2503" t="s">
        <v>2572</v>
      </c>
      <c r="L2503" t="s">
        <v>2605</v>
      </c>
      <c r="M2503" t="s">
        <v>2619</v>
      </c>
    </row>
    <row r="2504" spans="1:13">
      <c r="A2504" s="1">
        <f>HYPERLINK("https://lsnyc.legalserver.org/matter/dynamic-profile/view/1854936","18-1854936")</f>
        <v>0</v>
      </c>
      <c r="B2504" t="s">
        <v>16</v>
      </c>
      <c r="C2504" t="s">
        <v>23</v>
      </c>
      <c r="D2504" t="s">
        <v>1543</v>
      </c>
      <c r="E2504" t="s">
        <v>2390</v>
      </c>
      <c r="F2504" t="s">
        <v>2437</v>
      </c>
      <c r="I2504" t="s">
        <v>2446</v>
      </c>
      <c r="J2504" t="s">
        <v>2457</v>
      </c>
      <c r="K2504" t="s">
        <v>2569</v>
      </c>
      <c r="L2504" t="s">
        <v>2600</v>
      </c>
      <c r="M2504" t="s">
        <v>2626</v>
      </c>
    </row>
    <row r="2505" spans="1:13">
      <c r="A2505" s="1">
        <f>HYPERLINK("https://lsnyc.legalserver.org/matter/dynamic-profile/view/1854908","17-1854908")</f>
        <v>0</v>
      </c>
      <c r="B2505" t="s">
        <v>19</v>
      </c>
      <c r="C2505" t="s">
        <v>27</v>
      </c>
      <c r="D2505" t="s">
        <v>1958</v>
      </c>
      <c r="E2505" t="s">
        <v>2381</v>
      </c>
      <c r="F2505" t="s">
        <v>2437</v>
      </c>
      <c r="J2505" t="s">
        <v>2539</v>
      </c>
      <c r="K2505" t="s">
        <v>2598</v>
      </c>
      <c r="L2505" t="s">
        <v>2603</v>
      </c>
      <c r="M2505" t="s">
        <v>2626</v>
      </c>
    </row>
    <row r="2506" spans="1:13">
      <c r="A2506" s="1">
        <f>HYPERLINK("https://lsnyc.legalserver.org/matter/dynamic-profile/view/1854906","17-1854906")</f>
        <v>0</v>
      </c>
      <c r="B2506" t="s">
        <v>14</v>
      </c>
      <c r="C2506" t="s">
        <v>43</v>
      </c>
      <c r="D2506" t="s">
        <v>1959</v>
      </c>
      <c r="E2506" t="s">
        <v>2394</v>
      </c>
      <c r="F2506" t="s">
        <v>2437</v>
      </c>
      <c r="I2506" t="s">
        <v>2446</v>
      </c>
      <c r="J2506" t="s">
        <v>2448</v>
      </c>
      <c r="K2506" t="s">
        <v>2569</v>
      </c>
      <c r="L2506" t="s">
        <v>2605</v>
      </c>
      <c r="M2506" t="s">
        <v>2627</v>
      </c>
    </row>
    <row r="2507" spans="1:13">
      <c r="A2507" s="1">
        <f>HYPERLINK("https://lsnyc.legalserver.org/matter/dynamic-profile/view/1854907","17-1854907")</f>
        <v>0</v>
      </c>
      <c r="B2507" t="s">
        <v>14</v>
      </c>
      <c r="C2507" t="s">
        <v>43</v>
      </c>
      <c r="D2507" t="s">
        <v>1959</v>
      </c>
      <c r="E2507" t="s">
        <v>2394</v>
      </c>
      <c r="F2507" t="s">
        <v>2437</v>
      </c>
      <c r="I2507" t="s">
        <v>2446</v>
      </c>
      <c r="J2507" t="s">
        <v>2448</v>
      </c>
      <c r="K2507" t="s">
        <v>2569</v>
      </c>
      <c r="L2507" t="s">
        <v>2605</v>
      </c>
      <c r="M2507" t="s">
        <v>2627</v>
      </c>
    </row>
    <row r="2508" spans="1:13">
      <c r="A2508" s="1">
        <f>HYPERLINK("https://lsnyc.legalserver.org/matter/dynamic-profile/view/1854658","17-1854658")</f>
        <v>0</v>
      </c>
      <c r="B2508" t="s">
        <v>18</v>
      </c>
      <c r="C2508" t="s">
        <v>34</v>
      </c>
      <c r="D2508" t="s">
        <v>1960</v>
      </c>
      <c r="F2508" t="s">
        <v>2439</v>
      </c>
      <c r="K2508" t="s">
        <v>2572</v>
      </c>
      <c r="L2508" t="s">
        <v>2601</v>
      </c>
      <c r="M2508" t="s">
        <v>2631</v>
      </c>
    </row>
    <row r="2509" spans="1:13">
      <c r="A2509" s="1">
        <f>HYPERLINK("https://lsnyc.legalserver.org/matter/dynamic-profile/view/1854678","17-1854678")</f>
        <v>0</v>
      </c>
      <c r="B2509" t="s">
        <v>15</v>
      </c>
      <c r="C2509" t="s">
        <v>55</v>
      </c>
      <c r="D2509" t="s">
        <v>1961</v>
      </c>
      <c r="E2509" t="s">
        <v>2390</v>
      </c>
      <c r="F2509" t="s">
        <v>2439</v>
      </c>
      <c r="I2509" t="s">
        <v>2446</v>
      </c>
      <c r="J2509" t="s">
        <v>2498</v>
      </c>
      <c r="K2509" t="s">
        <v>2572</v>
      </c>
      <c r="L2509" t="s">
        <v>2602</v>
      </c>
      <c r="M2509" t="s">
        <v>2631</v>
      </c>
    </row>
    <row r="2510" spans="1:13">
      <c r="A2510" s="1">
        <f>HYPERLINK("https://lsnyc.legalserver.org/matter/dynamic-profile/view/1854408","17-1854408")</f>
        <v>0</v>
      </c>
      <c r="B2510" t="s">
        <v>19</v>
      </c>
      <c r="C2510" t="s">
        <v>47</v>
      </c>
      <c r="D2510" t="s">
        <v>1962</v>
      </c>
      <c r="E2510" t="s">
        <v>2376</v>
      </c>
      <c r="F2510" t="s">
        <v>2439</v>
      </c>
      <c r="J2510" t="s">
        <v>2480</v>
      </c>
      <c r="K2510" t="s">
        <v>2572</v>
      </c>
      <c r="L2510" t="s">
        <v>2604</v>
      </c>
      <c r="M2510" t="s">
        <v>2618</v>
      </c>
    </row>
    <row r="2511" spans="1:13">
      <c r="A2511" s="1">
        <f>HYPERLINK("https://lsnyc.legalserver.org/matter/dynamic-profile/view/1854413","17-1854413")</f>
        <v>0</v>
      </c>
      <c r="B2511" t="s">
        <v>19</v>
      </c>
      <c r="C2511" t="s">
        <v>47</v>
      </c>
      <c r="D2511" t="s">
        <v>1962</v>
      </c>
      <c r="E2511" t="s">
        <v>2394</v>
      </c>
      <c r="F2511" t="s">
        <v>2437</v>
      </c>
      <c r="J2511" t="s">
        <v>2480</v>
      </c>
      <c r="K2511" t="s">
        <v>2572</v>
      </c>
      <c r="L2511" t="s">
        <v>2601</v>
      </c>
      <c r="M2511" t="s">
        <v>2631</v>
      </c>
    </row>
    <row r="2512" spans="1:13">
      <c r="A2512" s="1">
        <f>HYPERLINK("https://lsnyc.legalserver.org/matter/dynamic-profile/view/1854415","17-1854415")</f>
        <v>0</v>
      </c>
      <c r="B2512" t="s">
        <v>19</v>
      </c>
      <c r="C2512" t="s">
        <v>47</v>
      </c>
      <c r="D2512" t="s">
        <v>1962</v>
      </c>
      <c r="E2512" t="s">
        <v>2411</v>
      </c>
      <c r="F2512" t="s">
        <v>2437</v>
      </c>
      <c r="J2512" t="s">
        <v>2480</v>
      </c>
      <c r="K2512" t="s">
        <v>2572</v>
      </c>
      <c r="L2512" t="s">
        <v>2601</v>
      </c>
      <c r="M2512" t="s">
        <v>2631</v>
      </c>
    </row>
    <row r="2513" spans="1:14">
      <c r="A2513" s="1">
        <f>HYPERLINK("https://lsnyc.legalserver.org/matter/dynamic-profile/view/1854250","17-1854250")</f>
        <v>0</v>
      </c>
      <c r="B2513" t="s">
        <v>19</v>
      </c>
      <c r="C2513" t="s">
        <v>38</v>
      </c>
      <c r="D2513" t="s">
        <v>1844</v>
      </c>
      <c r="E2513" t="s">
        <v>2390</v>
      </c>
      <c r="F2513" t="s">
        <v>2437</v>
      </c>
      <c r="I2513" t="s">
        <v>2446</v>
      </c>
      <c r="J2513" t="s">
        <v>2452</v>
      </c>
      <c r="K2513" t="s">
        <v>2572</v>
      </c>
      <c r="L2513" t="s">
        <v>2600</v>
      </c>
      <c r="M2513" t="s">
        <v>2619</v>
      </c>
    </row>
    <row r="2514" spans="1:14">
      <c r="A2514" s="1">
        <f>HYPERLINK("https://lsnyc.legalserver.org/matter/dynamic-profile/view/1854223","17-1854223")</f>
        <v>0</v>
      </c>
      <c r="B2514" t="s">
        <v>17</v>
      </c>
      <c r="C2514" t="s">
        <v>56</v>
      </c>
      <c r="D2514" t="s">
        <v>1333</v>
      </c>
      <c r="E2514" t="s">
        <v>2387</v>
      </c>
      <c r="F2514" t="s">
        <v>2437</v>
      </c>
      <c r="I2514" t="s">
        <v>2446</v>
      </c>
      <c r="J2514" t="s">
        <v>2457</v>
      </c>
      <c r="K2514" t="s">
        <v>2569</v>
      </c>
      <c r="L2514" t="s">
        <v>2600</v>
      </c>
      <c r="M2514" t="s">
        <v>2629</v>
      </c>
    </row>
    <row r="2515" spans="1:14">
      <c r="A2515" s="1">
        <f>HYPERLINK("https://lsnyc.legalserver.org/matter/dynamic-profile/view/1854186","17-1854186")</f>
        <v>0</v>
      </c>
      <c r="B2515" t="s">
        <v>18</v>
      </c>
      <c r="C2515" t="s">
        <v>35</v>
      </c>
      <c r="D2515" t="s">
        <v>1963</v>
      </c>
      <c r="E2515" t="s">
        <v>2390</v>
      </c>
      <c r="F2515" t="s">
        <v>2439</v>
      </c>
      <c r="J2515" t="s">
        <v>2450</v>
      </c>
      <c r="K2515" t="s">
        <v>2572</v>
      </c>
      <c r="L2515" t="s">
        <v>2601</v>
      </c>
      <c r="M2515" t="s">
        <v>2631</v>
      </c>
    </row>
    <row r="2516" spans="1:14">
      <c r="A2516" s="1">
        <f>HYPERLINK("https://lsnyc.legalserver.org/matter/dynamic-profile/view/1854129","17-1854129")</f>
        <v>0</v>
      </c>
      <c r="B2516" t="s">
        <v>16</v>
      </c>
      <c r="C2516" t="s">
        <v>23</v>
      </c>
      <c r="D2516" t="s">
        <v>1964</v>
      </c>
      <c r="E2516" t="s">
        <v>2390</v>
      </c>
      <c r="F2516" t="s">
        <v>2436</v>
      </c>
      <c r="K2516" t="s">
        <v>2569</v>
      </c>
      <c r="L2516" t="s">
        <v>2601</v>
      </c>
      <c r="M2516" t="s">
        <v>2631</v>
      </c>
    </row>
    <row r="2517" spans="1:14">
      <c r="A2517" s="1">
        <f>HYPERLINK("https://lsnyc.legalserver.org/matter/dynamic-profile/view/1854155","17-1854155")</f>
        <v>0</v>
      </c>
      <c r="B2517" t="s">
        <v>16</v>
      </c>
      <c r="C2517" t="s">
        <v>23</v>
      </c>
      <c r="D2517" t="s">
        <v>932</v>
      </c>
      <c r="E2517" t="s">
        <v>2390</v>
      </c>
      <c r="F2517" t="s">
        <v>2437</v>
      </c>
      <c r="I2517" t="s">
        <v>2446</v>
      </c>
      <c r="J2517" t="s">
        <v>2452</v>
      </c>
      <c r="K2517" t="s">
        <v>2572</v>
      </c>
      <c r="M2517" t="s">
        <v>2619</v>
      </c>
    </row>
    <row r="2518" spans="1:14">
      <c r="A2518" s="1">
        <f>HYPERLINK("https://lsnyc.legalserver.org/matter/dynamic-profile/view/1854178","17-1854178")</f>
        <v>0</v>
      </c>
      <c r="B2518" t="s">
        <v>17</v>
      </c>
      <c r="C2518" t="s">
        <v>42</v>
      </c>
      <c r="D2518" t="s">
        <v>1965</v>
      </c>
      <c r="E2518" t="s">
        <v>2375</v>
      </c>
      <c r="F2518" t="s">
        <v>2437</v>
      </c>
      <c r="I2518" t="s">
        <v>2446</v>
      </c>
      <c r="J2518" t="s">
        <v>2498</v>
      </c>
      <c r="K2518" t="s">
        <v>2586</v>
      </c>
      <c r="M2518" t="s">
        <v>2617</v>
      </c>
    </row>
    <row r="2519" spans="1:14">
      <c r="A2519" s="1">
        <f>HYPERLINK("https://lsnyc.legalserver.org/matter/dynamic-profile/view/1854195","17-1854195")</f>
        <v>0</v>
      </c>
      <c r="B2519" t="s">
        <v>16</v>
      </c>
      <c r="C2519" t="s">
        <v>23</v>
      </c>
      <c r="D2519" t="s">
        <v>1734</v>
      </c>
      <c r="E2519" t="s">
        <v>2390</v>
      </c>
      <c r="F2519" t="s">
        <v>2437</v>
      </c>
      <c r="I2519" t="s">
        <v>2446</v>
      </c>
      <c r="J2519" t="s">
        <v>2453</v>
      </c>
      <c r="K2519" t="s">
        <v>2587</v>
      </c>
      <c r="M2519" t="s">
        <v>2619</v>
      </c>
    </row>
    <row r="2520" spans="1:14">
      <c r="A2520" s="1">
        <f>HYPERLINK("https://lsnyc.legalserver.org/matter/dynamic-profile/view/1853962","17-1853962")</f>
        <v>0</v>
      </c>
      <c r="B2520" t="s">
        <v>18</v>
      </c>
      <c r="C2520" t="s">
        <v>35</v>
      </c>
      <c r="D2520" t="s">
        <v>1966</v>
      </c>
      <c r="E2520" t="s">
        <v>2394</v>
      </c>
      <c r="F2520" t="s">
        <v>2437</v>
      </c>
      <c r="I2520" t="s">
        <v>2446</v>
      </c>
      <c r="J2520" t="s">
        <v>2452</v>
      </c>
      <c r="K2520" t="s">
        <v>2572</v>
      </c>
      <c r="L2520" t="s">
        <v>2603</v>
      </c>
      <c r="M2520" t="s">
        <v>2627</v>
      </c>
    </row>
    <row r="2521" spans="1:14">
      <c r="A2521" s="1">
        <f>HYPERLINK("https://lsnyc.legalserver.org/matter/dynamic-profile/view/1853979","17-1853979")</f>
        <v>0</v>
      </c>
      <c r="B2521" t="s">
        <v>19</v>
      </c>
      <c r="C2521" t="s">
        <v>38</v>
      </c>
      <c r="D2521" t="s">
        <v>1967</v>
      </c>
      <c r="E2521" t="s">
        <v>2394</v>
      </c>
      <c r="F2521" t="s">
        <v>2437</v>
      </c>
      <c r="I2521" t="s">
        <v>2446</v>
      </c>
      <c r="J2521" t="s">
        <v>2480</v>
      </c>
      <c r="L2521" t="s">
        <v>2600</v>
      </c>
      <c r="M2521" t="s">
        <v>2627</v>
      </c>
      <c r="N2521" t="s">
        <v>2648</v>
      </c>
    </row>
    <row r="2522" spans="1:14">
      <c r="A2522" s="1">
        <f>HYPERLINK("https://lsnyc.legalserver.org/matter/dynamic-profile/view/1853985","17-1853985")</f>
        <v>0</v>
      </c>
      <c r="B2522" t="s">
        <v>15</v>
      </c>
      <c r="C2522" t="s">
        <v>49</v>
      </c>
      <c r="D2522" t="s">
        <v>1968</v>
      </c>
      <c r="E2522" t="s">
        <v>2390</v>
      </c>
      <c r="F2522" t="s">
        <v>2437</v>
      </c>
      <c r="I2522" t="s">
        <v>2446</v>
      </c>
      <c r="J2522" t="s">
        <v>2448</v>
      </c>
      <c r="K2522" t="s">
        <v>2569</v>
      </c>
      <c r="M2522" t="s">
        <v>2619</v>
      </c>
    </row>
    <row r="2523" spans="1:14">
      <c r="A2523" s="1">
        <f>HYPERLINK("https://lsnyc.legalserver.org/matter/dynamic-profile/view/1854006","17-1854006")</f>
        <v>0</v>
      </c>
      <c r="B2523" t="s">
        <v>16</v>
      </c>
      <c r="C2523" t="s">
        <v>23</v>
      </c>
      <c r="D2523" t="s">
        <v>1969</v>
      </c>
      <c r="E2523" t="s">
        <v>2375</v>
      </c>
      <c r="F2523" t="s">
        <v>2437</v>
      </c>
      <c r="I2523" t="s">
        <v>2446</v>
      </c>
      <c r="J2523" t="s">
        <v>2471</v>
      </c>
      <c r="K2523" t="s">
        <v>2571</v>
      </c>
      <c r="M2523" t="s">
        <v>2617</v>
      </c>
    </row>
    <row r="2524" spans="1:14">
      <c r="A2524" s="1">
        <f>HYPERLINK("https://lsnyc.legalserver.org/matter/dynamic-profile/view/1854047","17-1854047")</f>
        <v>0</v>
      </c>
      <c r="B2524" t="s">
        <v>18</v>
      </c>
      <c r="C2524" t="s">
        <v>53</v>
      </c>
      <c r="D2524" t="s">
        <v>1970</v>
      </c>
      <c r="E2524" t="s">
        <v>2390</v>
      </c>
      <c r="F2524" t="s">
        <v>2439</v>
      </c>
      <c r="I2524" t="s">
        <v>2446</v>
      </c>
      <c r="J2524" t="s">
        <v>2448</v>
      </c>
      <c r="K2524" t="s">
        <v>2569</v>
      </c>
      <c r="L2524" t="s">
        <v>2602</v>
      </c>
      <c r="M2524" t="s">
        <v>2631</v>
      </c>
    </row>
    <row r="2525" spans="1:14">
      <c r="A2525" s="1">
        <f>HYPERLINK("https://lsnyc.legalserver.org/matter/dynamic-profile/view/1853861","17-1853861")</f>
        <v>0</v>
      </c>
      <c r="B2525" t="s">
        <v>14</v>
      </c>
      <c r="C2525" t="s">
        <v>69</v>
      </c>
      <c r="D2525" t="s">
        <v>1029</v>
      </c>
      <c r="E2525" t="s">
        <v>2371</v>
      </c>
      <c r="F2525" t="s">
        <v>2437</v>
      </c>
      <c r="I2525" t="s">
        <v>2446</v>
      </c>
      <c r="J2525" t="s">
        <v>2458</v>
      </c>
      <c r="K2525" t="s">
        <v>2569</v>
      </c>
      <c r="L2525" t="s">
        <v>2608</v>
      </c>
      <c r="M2525" t="s">
        <v>2612</v>
      </c>
    </row>
    <row r="2526" spans="1:14">
      <c r="A2526" s="1">
        <f>HYPERLINK("https://lsnyc.legalserver.org/matter/dynamic-profile/view/1853862","17-1853862")</f>
        <v>0</v>
      </c>
      <c r="B2526" t="s">
        <v>14</v>
      </c>
      <c r="C2526" t="s">
        <v>69</v>
      </c>
      <c r="D2526" t="s">
        <v>1971</v>
      </c>
      <c r="E2526" t="s">
        <v>2394</v>
      </c>
      <c r="F2526" t="s">
        <v>2437</v>
      </c>
      <c r="I2526" t="s">
        <v>2446</v>
      </c>
      <c r="J2526" t="s">
        <v>2458</v>
      </c>
      <c r="K2526" t="s">
        <v>2569</v>
      </c>
      <c r="L2526" t="s">
        <v>2600</v>
      </c>
      <c r="M2526" t="s">
        <v>2627</v>
      </c>
    </row>
    <row r="2527" spans="1:14">
      <c r="A2527" s="1">
        <f>HYPERLINK("https://lsnyc.legalserver.org/matter/dynamic-profile/view/1853863","17-1853863")</f>
        <v>0</v>
      </c>
      <c r="B2527" t="s">
        <v>14</v>
      </c>
      <c r="C2527" t="s">
        <v>69</v>
      </c>
      <c r="D2527" t="s">
        <v>1971</v>
      </c>
      <c r="E2527" t="s">
        <v>2371</v>
      </c>
      <c r="F2527" t="s">
        <v>2437</v>
      </c>
      <c r="I2527" t="s">
        <v>2446</v>
      </c>
      <c r="J2527" t="s">
        <v>2458</v>
      </c>
      <c r="K2527" t="s">
        <v>2569</v>
      </c>
      <c r="L2527" t="s">
        <v>2600</v>
      </c>
      <c r="M2527" t="s">
        <v>2612</v>
      </c>
    </row>
    <row r="2528" spans="1:14">
      <c r="A2528" s="1">
        <f>HYPERLINK("https://lsnyc.legalserver.org/matter/dynamic-profile/view/1853956","17-1853956")</f>
        <v>0</v>
      </c>
      <c r="B2528" t="s">
        <v>19</v>
      </c>
      <c r="C2528" t="s">
        <v>47</v>
      </c>
      <c r="D2528" t="s">
        <v>1972</v>
      </c>
      <c r="E2528" t="s">
        <v>2383</v>
      </c>
      <c r="F2528" t="s">
        <v>2437</v>
      </c>
      <c r="H2528" t="s">
        <v>2445</v>
      </c>
      <c r="J2528" t="s">
        <v>2457</v>
      </c>
      <c r="K2528" t="s">
        <v>2569</v>
      </c>
      <c r="L2528" t="s">
        <v>2600</v>
      </c>
      <c r="M2528" t="s">
        <v>2624</v>
      </c>
    </row>
    <row r="2529" spans="1:13">
      <c r="A2529" s="1">
        <f>HYPERLINK("https://lsnyc.legalserver.org/matter/dynamic-profile/view/1853953","17-1853953")</f>
        <v>0</v>
      </c>
      <c r="B2529" t="s">
        <v>19</v>
      </c>
      <c r="C2529" t="s">
        <v>47</v>
      </c>
      <c r="D2529" t="s">
        <v>1973</v>
      </c>
      <c r="E2529" t="s">
        <v>2383</v>
      </c>
      <c r="F2529" t="s">
        <v>2437</v>
      </c>
      <c r="H2529" t="s">
        <v>2445</v>
      </c>
      <c r="J2529" t="s">
        <v>2457</v>
      </c>
      <c r="K2529" t="s">
        <v>2569</v>
      </c>
      <c r="L2529" t="s">
        <v>2600</v>
      </c>
      <c r="M2529" t="s">
        <v>2626</v>
      </c>
    </row>
    <row r="2530" spans="1:13">
      <c r="A2530" s="1">
        <f>HYPERLINK("https://lsnyc.legalserver.org/matter/dynamic-profile/view/1853948","17-1853948")</f>
        <v>0</v>
      </c>
      <c r="B2530" t="s">
        <v>16</v>
      </c>
      <c r="C2530" t="s">
        <v>23</v>
      </c>
      <c r="D2530" t="s">
        <v>1974</v>
      </c>
      <c r="E2530" t="s">
        <v>2375</v>
      </c>
      <c r="F2530" t="s">
        <v>2437</v>
      </c>
      <c r="I2530" t="s">
        <v>2446</v>
      </c>
      <c r="J2530" t="s">
        <v>2452</v>
      </c>
      <c r="K2530" t="s">
        <v>2572</v>
      </c>
      <c r="M2530" t="s">
        <v>2617</v>
      </c>
    </row>
    <row r="2531" spans="1:13">
      <c r="A2531" s="1">
        <f>HYPERLINK("https://lsnyc.legalserver.org/matter/dynamic-profile/view/1853856","17-1853856")</f>
        <v>0</v>
      </c>
      <c r="B2531" t="s">
        <v>14</v>
      </c>
      <c r="C2531" t="s">
        <v>69</v>
      </c>
      <c r="D2531" t="s">
        <v>1975</v>
      </c>
      <c r="E2531" t="s">
        <v>2376</v>
      </c>
      <c r="F2531" t="s">
        <v>2437</v>
      </c>
      <c r="J2531" t="s">
        <v>2450</v>
      </c>
      <c r="K2531" t="s">
        <v>2569</v>
      </c>
      <c r="L2531" t="s">
        <v>2603</v>
      </c>
      <c r="M2531" t="s">
        <v>2618</v>
      </c>
    </row>
    <row r="2532" spans="1:13">
      <c r="A2532" s="1">
        <f>HYPERLINK("https://lsnyc.legalserver.org/matter/dynamic-profile/view/1853828","17-1853828")</f>
        <v>0</v>
      </c>
      <c r="B2532" t="s">
        <v>16</v>
      </c>
      <c r="C2532" t="s">
        <v>23</v>
      </c>
      <c r="D2532" t="s">
        <v>1976</v>
      </c>
      <c r="E2532" t="s">
        <v>2375</v>
      </c>
      <c r="F2532" t="s">
        <v>2437</v>
      </c>
      <c r="I2532" t="s">
        <v>2446</v>
      </c>
      <c r="J2532" t="s">
        <v>2471</v>
      </c>
      <c r="K2532" t="s">
        <v>2571</v>
      </c>
      <c r="M2532" t="s">
        <v>2617</v>
      </c>
    </row>
    <row r="2533" spans="1:13">
      <c r="A2533" s="1">
        <f>HYPERLINK("https://lsnyc.legalserver.org/matter/dynamic-profile/view/1853837","17-1853837")</f>
        <v>0</v>
      </c>
      <c r="B2533" t="s">
        <v>16</v>
      </c>
      <c r="C2533" t="s">
        <v>23</v>
      </c>
      <c r="D2533" t="s">
        <v>1977</v>
      </c>
      <c r="E2533" t="s">
        <v>2375</v>
      </c>
      <c r="F2533" t="s">
        <v>2437</v>
      </c>
      <c r="I2533" t="s">
        <v>2446</v>
      </c>
      <c r="J2533" t="s">
        <v>2471</v>
      </c>
      <c r="K2533" t="s">
        <v>2571</v>
      </c>
      <c r="M2533" t="s">
        <v>2617</v>
      </c>
    </row>
    <row r="2534" spans="1:13">
      <c r="A2534" s="1">
        <f>HYPERLINK("https://lsnyc.legalserver.org/matter/dynamic-profile/view/1853845","17-1853845")</f>
        <v>0</v>
      </c>
      <c r="B2534" t="s">
        <v>18</v>
      </c>
      <c r="C2534" t="s">
        <v>34</v>
      </c>
      <c r="D2534" t="s">
        <v>1027</v>
      </c>
      <c r="E2534" t="s">
        <v>2385</v>
      </c>
      <c r="F2534" t="s">
        <v>2438</v>
      </c>
      <c r="I2534" t="s">
        <v>2446</v>
      </c>
      <c r="J2534" t="s">
        <v>2471</v>
      </c>
      <c r="K2534" t="s">
        <v>2572</v>
      </c>
      <c r="M2534" t="s">
        <v>2616</v>
      </c>
    </row>
    <row r="2535" spans="1:13">
      <c r="A2535" s="1">
        <f>HYPERLINK("https://lsnyc.legalserver.org/matter/dynamic-profile/view/1853704","17-1853704")</f>
        <v>0</v>
      </c>
      <c r="B2535" t="s">
        <v>14</v>
      </c>
      <c r="C2535" t="s">
        <v>21</v>
      </c>
      <c r="D2535" t="s">
        <v>1978</v>
      </c>
      <c r="E2535" t="s">
        <v>2383</v>
      </c>
      <c r="F2535" t="s">
        <v>2437</v>
      </c>
      <c r="J2535" t="s">
        <v>2450</v>
      </c>
      <c r="K2535" t="s">
        <v>2569</v>
      </c>
      <c r="L2535" t="s">
        <v>2603</v>
      </c>
      <c r="M2535" t="s">
        <v>2624</v>
      </c>
    </row>
    <row r="2536" spans="1:13">
      <c r="A2536" s="1">
        <f>HYPERLINK("https://lsnyc.legalserver.org/matter/dynamic-profile/view/1853913","17-1853913")</f>
        <v>0</v>
      </c>
      <c r="B2536" t="s">
        <v>15</v>
      </c>
      <c r="C2536" t="s">
        <v>49</v>
      </c>
      <c r="D2536" t="s">
        <v>1979</v>
      </c>
      <c r="E2536" t="s">
        <v>2390</v>
      </c>
      <c r="F2536" t="s">
        <v>2437</v>
      </c>
      <c r="J2536" t="s">
        <v>2448</v>
      </c>
      <c r="L2536" t="s">
        <v>2604</v>
      </c>
      <c r="M2536" t="s">
        <v>2619</v>
      </c>
    </row>
    <row r="2537" spans="1:13">
      <c r="A2537" s="1">
        <f>HYPERLINK("https://lsnyc.legalserver.org/matter/dynamic-profile/view/1854042","17-1854042")</f>
        <v>0</v>
      </c>
      <c r="B2537" t="s">
        <v>18</v>
      </c>
      <c r="C2537" t="s">
        <v>53</v>
      </c>
      <c r="D2537" t="s">
        <v>1980</v>
      </c>
      <c r="E2537" t="s">
        <v>2390</v>
      </c>
      <c r="F2537" t="s">
        <v>2439</v>
      </c>
      <c r="I2537" t="s">
        <v>2446</v>
      </c>
      <c r="J2537" t="s">
        <v>2448</v>
      </c>
      <c r="K2537" t="s">
        <v>2569</v>
      </c>
      <c r="L2537" t="s">
        <v>2601</v>
      </c>
      <c r="M2537" t="s">
        <v>2631</v>
      </c>
    </row>
    <row r="2538" spans="1:13">
      <c r="A2538" s="1">
        <f>HYPERLINK("https://lsnyc.legalserver.org/matter/dynamic-profile/view/1853689","17-1853689")</f>
        <v>0</v>
      </c>
      <c r="B2538" t="s">
        <v>19</v>
      </c>
      <c r="C2538" t="s">
        <v>47</v>
      </c>
      <c r="D2538" t="s">
        <v>1981</v>
      </c>
      <c r="E2538" t="s">
        <v>2383</v>
      </c>
      <c r="F2538" t="s">
        <v>2437</v>
      </c>
      <c r="I2538" t="s">
        <v>2446</v>
      </c>
      <c r="J2538" t="s">
        <v>2457</v>
      </c>
      <c r="K2538" t="s">
        <v>2569</v>
      </c>
      <c r="L2538" t="s">
        <v>2600</v>
      </c>
      <c r="M2538" t="s">
        <v>2624</v>
      </c>
    </row>
    <row r="2539" spans="1:13">
      <c r="A2539" s="1">
        <f>HYPERLINK("https://lsnyc.legalserver.org/matter/dynamic-profile/view/1854036","17-1854036")</f>
        <v>0</v>
      </c>
      <c r="B2539" t="s">
        <v>18</v>
      </c>
      <c r="C2539" t="s">
        <v>53</v>
      </c>
      <c r="D2539" t="s">
        <v>1982</v>
      </c>
      <c r="E2539" t="s">
        <v>2390</v>
      </c>
      <c r="F2539" t="s">
        <v>2437</v>
      </c>
      <c r="I2539" t="s">
        <v>2446</v>
      </c>
      <c r="J2539" t="s">
        <v>2448</v>
      </c>
      <c r="K2539" t="s">
        <v>2569</v>
      </c>
      <c r="M2539" t="s">
        <v>2619</v>
      </c>
    </row>
    <row r="2540" spans="1:13">
      <c r="A2540" s="1">
        <f>HYPERLINK("https://lsnyc.legalserver.org/matter/dynamic-profile/view/1853606","17-1853606")</f>
        <v>0</v>
      </c>
      <c r="B2540" t="s">
        <v>16</v>
      </c>
      <c r="C2540" t="s">
        <v>77</v>
      </c>
      <c r="D2540" t="s">
        <v>1983</v>
      </c>
      <c r="E2540" t="s">
        <v>2390</v>
      </c>
      <c r="F2540" t="s">
        <v>2439</v>
      </c>
      <c r="K2540" t="s">
        <v>2569</v>
      </c>
      <c r="L2540" t="s">
        <v>2601</v>
      </c>
      <c r="M2540" t="s">
        <v>2631</v>
      </c>
    </row>
    <row r="2541" spans="1:13">
      <c r="A2541" s="1">
        <f>HYPERLINK("https://lsnyc.legalserver.org/matter/dynamic-profile/view/1853651","17-1853651")</f>
        <v>0</v>
      </c>
      <c r="B2541" t="s">
        <v>19</v>
      </c>
      <c r="C2541" t="s">
        <v>62</v>
      </c>
      <c r="D2541" t="s">
        <v>1984</v>
      </c>
      <c r="E2541" t="s">
        <v>2375</v>
      </c>
      <c r="F2541" t="s">
        <v>2439</v>
      </c>
      <c r="J2541" t="s">
        <v>2497</v>
      </c>
      <c r="K2541" t="s">
        <v>2585</v>
      </c>
      <c r="L2541" t="s">
        <v>2601</v>
      </c>
      <c r="M2541" t="s">
        <v>2631</v>
      </c>
    </row>
    <row r="2542" spans="1:13">
      <c r="A2542" s="1">
        <f>HYPERLINK("https://lsnyc.legalserver.org/matter/dynamic-profile/view/1853558","17-1853558")</f>
        <v>0</v>
      </c>
      <c r="B2542" t="s">
        <v>19</v>
      </c>
      <c r="C2542" t="s">
        <v>38</v>
      </c>
      <c r="D2542" t="s">
        <v>1985</v>
      </c>
      <c r="E2542" t="s">
        <v>2390</v>
      </c>
      <c r="F2542" t="s">
        <v>2437</v>
      </c>
      <c r="I2542" t="s">
        <v>2446</v>
      </c>
      <c r="J2542" t="s">
        <v>2490</v>
      </c>
      <c r="K2542" t="s">
        <v>2572</v>
      </c>
      <c r="L2542" t="s">
        <v>2600</v>
      </c>
      <c r="M2542" t="s">
        <v>2619</v>
      </c>
    </row>
    <row r="2543" spans="1:13">
      <c r="A2543" s="1">
        <f>HYPERLINK("https://lsnyc.legalserver.org/matter/dynamic-profile/view/1853528","17-1853528")</f>
        <v>0</v>
      </c>
      <c r="B2543" t="s">
        <v>14</v>
      </c>
      <c r="C2543" t="s">
        <v>20</v>
      </c>
      <c r="D2543" t="s">
        <v>1986</v>
      </c>
      <c r="E2543" t="s">
        <v>2387</v>
      </c>
      <c r="F2543" t="s">
        <v>2437</v>
      </c>
      <c r="I2543" t="s">
        <v>2446</v>
      </c>
      <c r="J2543" t="s">
        <v>2465</v>
      </c>
      <c r="K2543" t="s">
        <v>2569</v>
      </c>
      <c r="M2543" t="s">
        <v>2629</v>
      </c>
    </row>
    <row r="2544" spans="1:13">
      <c r="A2544" s="1">
        <f>HYPERLINK("https://lsnyc.legalserver.org/matter/dynamic-profile/view/1853484","17-1853484")</f>
        <v>0</v>
      </c>
      <c r="B2544" t="s">
        <v>18</v>
      </c>
      <c r="C2544" t="s">
        <v>35</v>
      </c>
      <c r="D2544" t="s">
        <v>1987</v>
      </c>
      <c r="E2544" t="s">
        <v>2383</v>
      </c>
      <c r="F2544" t="s">
        <v>2439</v>
      </c>
      <c r="J2544" t="s">
        <v>2477</v>
      </c>
      <c r="K2544" t="s">
        <v>2572</v>
      </c>
      <c r="L2544" t="s">
        <v>2601</v>
      </c>
      <c r="M2544" t="s">
        <v>2631</v>
      </c>
    </row>
    <row r="2545" spans="1:14">
      <c r="A2545" s="1">
        <f>HYPERLINK("https://lsnyc.legalserver.org/matter/dynamic-profile/view/1853422","17-1853422")</f>
        <v>0</v>
      </c>
      <c r="B2545" t="s">
        <v>19</v>
      </c>
      <c r="C2545" t="s">
        <v>27</v>
      </c>
      <c r="D2545" t="s">
        <v>1988</v>
      </c>
      <c r="E2545" t="s">
        <v>2429</v>
      </c>
      <c r="K2545" t="s">
        <v>2569</v>
      </c>
      <c r="L2545" t="s">
        <v>2601</v>
      </c>
      <c r="M2545" t="s">
        <v>2631</v>
      </c>
    </row>
    <row r="2546" spans="1:14">
      <c r="A2546" s="1">
        <f>HYPERLINK("https://lsnyc.legalserver.org/matter/dynamic-profile/view/1853421","17-1853421")</f>
        <v>0</v>
      </c>
      <c r="B2546" t="s">
        <v>18</v>
      </c>
      <c r="C2546" t="s">
        <v>35</v>
      </c>
      <c r="D2546" t="s">
        <v>1989</v>
      </c>
      <c r="E2546" t="s">
        <v>2386</v>
      </c>
      <c r="F2546" t="s">
        <v>2439</v>
      </c>
      <c r="K2546" t="s">
        <v>2572</v>
      </c>
      <c r="L2546" t="s">
        <v>2601</v>
      </c>
      <c r="M2546" t="s">
        <v>2631</v>
      </c>
    </row>
    <row r="2547" spans="1:14">
      <c r="A2547" s="1">
        <f>HYPERLINK("https://lsnyc.legalserver.org/matter/dynamic-profile/view/1853425","17-1853425")</f>
        <v>0</v>
      </c>
      <c r="B2547" t="s">
        <v>18</v>
      </c>
      <c r="C2547" t="s">
        <v>34</v>
      </c>
      <c r="D2547" t="s">
        <v>1990</v>
      </c>
      <c r="E2547" t="s">
        <v>2387</v>
      </c>
      <c r="F2547" t="s">
        <v>2439</v>
      </c>
      <c r="J2547" t="s">
        <v>2487</v>
      </c>
      <c r="K2547" t="s">
        <v>2572</v>
      </c>
      <c r="L2547" t="s">
        <v>2601</v>
      </c>
      <c r="M2547" t="s">
        <v>2641</v>
      </c>
    </row>
    <row r="2548" spans="1:14">
      <c r="A2548" s="1">
        <f>HYPERLINK("https://lsnyc.legalserver.org/matter/dynamic-profile/view/1853380","17-1853380")</f>
        <v>0</v>
      </c>
      <c r="B2548" t="s">
        <v>14</v>
      </c>
      <c r="C2548" t="s">
        <v>21</v>
      </c>
      <c r="D2548" t="s">
        <v>1991</v>
      </c>
      <c r="E2548" t="s">
        <v>2383</v>
      </c>
      <c r="F2548" t="s">
        <v>2437</v>
      </c>
      <c r="I2548" t="s">
        <v>2446</v>
      </c>
      <c r="J2548" t="s">
        <v>2457</v>
      </c>
      <c r="K2548" t="s">
        <v>2569</v>
      </c>
      <c r="L2548" t="s">
        <v>2605</v>
      </c>
      <c r="M2548" t="s">
        <v>2626</v>
      </c>
      <c r="N2548" t="s">
        <v>2648</v>
      </c>
    </row>
    <row r="2549" spans="1:14">
      <c r="A2549" s="1">
        <f>HYPERLINK("https://lsnyc.legalserver.org/matter/dynamic-profile/view/1853381","17-1853381")</f>
        <v>0</v>
      </c>
      <c r="B2549" t="s">
        <v>14</v>
      </c>
      <c r="C2549" t="s">
        <v>21</v>
      </c>
      <c r="D2549" t="s">
        <v>1992</v>
      </c>
      <c r="E2549" t="s">
        <v>2383</v>
      </c>
      <c r="F2549" t="s">
        <v>2437</v>
      </c>
      <c r="I2549" t="s">
        <v>2446</v>
      </c>
      <c r="J2549" t="s">
        <v>2457</v>
      </c>
      <c r="K2549" t="s">
        <v>2569</v>
      </c>
      <c r="L2549" t="s">
        <v>2605</v>
      </c>
      <c r="M2549" t="s">
        <v>2624</v>
      </c>
      <c r="N2549" t="s">
        <v>2648</v>
      </c>
    </row>
    <row r="2550" spans="1:14">
      <c r="A2550" s="1">
        <f>HYPERLINK("https://lsnyc.legalserver.org/matter/dynamic-profile/view/1851610","17-1851610")</f>
        <v>0</v>
      </c>
      <c r="B2550" t="s">
        <v>17</v>
      </c>
      <c r="C2550" t="s">
        <v>28</v>
      </c>
      <c r="D2550" t="s">
        <v>100</v>
      </c>
      <c r="E2550" t="s">
        <v>2375</v>
      </c>
      <c r="F2550" t="s">
        <v>2437</v>
      </c>
      <c r="J2550" t="s">
        <v>2457</v>
      </c>
      <c r="K2550" t="s">
        <v>2569</v>
      </c>
      <c r="L2550" t="s">
        <v>2604</v>
      </c>
      <c r="M2550" t="s">
        <v>2617</v>
      </c>
    </row>
    <row r="2551" spans="1:14">
      <c r="A2551" s="1">
        <f>HYPERLINK("https://lsnyc.legalserver.org/matter/dynamic-profile/view/1853299","17-1853299")</f>
        <v>0</v>
      </c>
      <c r="B2551" t="s">
        <v>19</v>
      </c>
      <c r="C2551" t="s">
        <v>38</v>
      </c>
      <c r="D2551" t="s">
        <v>1993</v>
      </c>
      <c r="E2551" t="s">
        <v>2390</v>
      </c>
      <c r="F2551" t="s">
        <v>2437</v>
      </c>
      <c r="I2551" t="s">
        <v>2446</v>
      </c>
      <c r="J2551" t="s">
        <v>2453</v>
      </c>
      <c r="K2551" t="s">
        <v>2572</v>
      </c>
      <c r="L2551" t="s">
        <v>2600</v>
      </c>
      <c r="M2551" t="s">
        <v>2619</v>
      </c>
    </row>
    <row r="2552" spans="1:14">
      <c r="A2552" s="1">
        <f>HYPERLINK("https://lsnyc.legalserver.org/matter/dynamic-profile/view/1853276","17-1853276")</f>
        <v>0</v>
      </c>
      <c r="B2552" t="s">
        <v>19</v>
      </c>
      <c r="C2552" t="s">
        <v>62</v>
      </c>
      <c r="D2552" t="s">
        <v>1994</v>
      </c>
      <c r="E2552" t="s">
        <v>2374</v>
      </c>
      <c r="F2552" t="s">
        <v>2440</v>
      </c>
      <c r="I2552" t="s">
        <v>2446</v>
      </c>
      <c r="J2552" t="s">
        <v>2467</v>
      </c>
      <c r="K2552" t="s">
        <v>2572</v>
      </c>
      <c r="L2552" t="s">
        <v>2601</v>
      </c>
      <c r="M2552" t="s">
        <v>2631</v>
      </c>
    </row>
    <row r="2553" spans="1:14">
      <c r="A2553" s="1">
        <f>HYPERLINK("https://lsnyc.legalserver.org/matter/dynamic-profile/view/1854168","17-1854168")</f>
        <v>0</v>
      </c>
      <c r="B2553" t="s">
        <v>15</v>
      </c>
      <c r="C2553" t="s">
        <v>32</v>
      </c>
      <c r="D2553" t="s">
        <v>1995</v>
      </c>
      <c r="E2553" t="s">
        <v>2430</v>
      </c>
      <c r="F2553" t="s">
        <v>2437</v>
      </c>
      <c r="J2553" t="s">
        <v>2448</v>
      </c>
      <c r="K2553" t="s">
        <v>2569</v>
      </c>
      <c r="L2553" t="s">
        <v>2600</v>
      </c>
      <c r="M2553" t="s">
        <v>2638</v>
      </c>
    </row>
    <row r="2554" spans="1:14">
      <c r="A2554" s="1">
        <f>HYPERLINK("https://lsnyc.legalserver.org/matter/dynamic-profile/view/1854175","17-1854175")</f>
        <v>0</v>
      </c>
      <c r="B2554" t="s">
        <v>15</v>
      </c>
      <c r="C2554" t="s">
        <v>32</v>
      </c>
      <c r="D2554" t="s">
        <v>1996</v>
      </c>
      <c r="E2554" t="s">
        <v>2430</v>
      </c>
      <c r="F2554" t="s">
        <v>2437</v>
      </c>
      <c r="J2554" t="s">
        <v>2448</v>
      </c>
      <c r="K2554" t="s">
        <v>2569</v>
      </c>
      <c r="L2554" t="s">
        <v>2604</v>
      </c>
      <c r="M2554" t="s">
        <v>2638</v>
      </c>
    </row>
    <row r="2555" spans="1:14">
      <c r="A2555" s="1">
        <f>HYPERLINK("https://lsnyc.legalserver.org/matter/dynamic-profile/view/1851939","17-1851939")</f>
        <v>0</v>
      </c>
      <c r="B2555" t="s">
        <v>17</v>
      </c>
      <c r="C2555" t="s">
        <v>42</v>
      </c>
      <c r="D2555" t="s">
        <v>1914</v>
      </c>
      <c r="E2555" t="s">
        <v>2374</v>
      </c>
      <c r="F2555" t="s">
        <v>2438</v>
      </c>
      <c r="I2555" t="s">
        <v>2446</v>
      </c>
      <c r="J2555" t="s">
        <v>2450</v>
      </c>
      <c r="K2555" t="s">
        <v>2569</v>
      </c>
      <c r="M2555" t="s">
        <v>2616</v>
      </c>
    </row>
    <row r="2556" spans="1:14">
      <c r="A2556" s="1">
        <f>HYPERLINK("https://lsnyc.legalserver.org/matter/dynamic-profile/view/1853094","17-1853094")</f>
        <v>0</v>
      </c>
      <c r="B2556" t="s">
        <v>19</v>
      </c>
      <c r="C2556" t="s">
        <v>27</v>
      </c>
      <c r="D2556" t="s">
        <v>1997</v>
      </c>
      <c r="E2556" t="s">
        <v>2428</v>
      </c>
      <c r="F2556" t="s">
        <v>2437</v>
      </c>
      <c r="J2556" t="s">
        <v>2455</v>
      </c>
      <c r="K2556" t="s">
        <v>2572</v>
      </c>
      <c r="L2556" t="s">
        <v>2603</v>
      </c>
      <c r="M2556" t="s">
        <v>2630</v>
      </c>
    </row>
    <row r="2557" spans="1:14">
      <c r="A2557" s="1">
        <f>HYPERLINK("https://lsnyc.legalserver.org/matter/dynamic-profile/view/1853150","17-1853150")</f>
        <v>0</v>
      </c>
      <c r="B2557" t="s">
        <v>19</v>
      </c>
      <c r="C2557" t="s">
        <v>27</v>
      </c>
      <c r="D2557" t="s">
        <v>1998</v>
      </c>
      <c r="E2557" t="s">
        <v>2381</v>
      </c>
      <c r="F2557" t="s">
        <v>2437</v>
      </c>
      <c r="J2557" t="s">
        <v>2530</v>
      </c>
      <c r="K2557" t="s">
        <v>2582</v>
      </c>
      <c r="L2557" t="s">
        <v>2603</v>
      </c>
      <c r="M2557" t="s">
        <v>2622</v>
      </c>
    </row>
    <row r="2558" spans="1:14">
      <c r="A2558" s="1">
        <f>HYPERLINK("https://lsnyc.legalserver.org/matter/dynamic-profile/view/1853106","17-1853106")</f>
        <v>0</v>
      </c>
      <c r="B2558" t="s">
        <v>18</v>
      </c>
      <c r="C2558" t="s">
        <v>35</v>
      </c>
      <c r="D2558" t="s">
        <v>1999</v>
      </c>
      <c r="E2558" t="s">
        <v>2381</v>
      </c>
      <c r="F2558" t="s">
        <v>2440</v>
      </c>
      <c r="J2558" t="s">
        <v>2557</v>
      </c>
      <c r="K2558" t="s">
        <v>2579</v>
      </c>
      <c r="L2558" t="s">
        <v>2601</v>
      </c>
      <c r="M2558" t="s">
        <v>2631</v>
      </c>
    </row>
    <row r="2559" spans="1:14">
      <c r="A2559" s="1">
        <f>HYPERLINK("https://lsnyc.legalserver.org/matter/dynamic-profile/view/1853582","17-1853582")</f>
        <v>0</v>
      </c>
      <c r="B2559" t="s">
        <v>18</v>
      </c>
      <c r="C2559" t="s">
        <v>53</v>
      </c>
      <c r="D2559" t="s">
        <v>2000</v>
      </c>
      <c r="E2559" t="s">
        <v>2381</v>
      </c>
      <c r="F2559" t="s">
        <v>2437</v>
      </c>
      <c r="J2559" t="s">
        <v>2448</v>
      </c>
      <c r="K2559" t="s">
        <v>2569</v>
      </c>
      <c r="L2559" t="s">
        <v>2603</v>
      </c>
      <c r="M2559" t="s">
        <v>2622</v>
      </c>
    </row>
    <row r="2560" spans="1:14">
      <c r="A2560" s="1">
        <f>HYPERLINK("https://lsnyc.legalserver.org/matter/dynamic-profile/view/1853162","17-1853162")</f>
        <v>0</v>
      </c>
      <c r="B2560" t="s">
        <v>14</v>
      </c>
      <c r="C2560" t="s">
        <v>20</v>
      </c>
      <c r="D2560" t="s">
        <v>2001</v>
      </c>
      <c r="E2560" t="s">
        <v>2385</v>
      </c>
      <c r="F2560" t="s">
        <v>2438</v>
      </c>
      <c r="J2560" t="s">
        <v>2449</v>
      </c>
      <c r="K2560" t="s">
        <v>2569</v>
      </c>
      <c r="L2560" t="s">
        <v>2600</v>
      </c>
      <c r="M2560" t="s">
        <v>2616</v>
      </c>
    </row>
    <row r="2561" spans="1:14">
      <c r="A2561" s="1">
        <f>HYPERLINK("https://lsnyc.legalserver.org/matter/dynamic-profile/view/1853174","17-1853174")</f>
        <v>0</v>
      </c>
      <c r="B2561" t="s">
        <v>15</v>
      </c>
      <c r="C2561" t="s">
        <v>49</v>
      </c>
      <c r="D2561" t="s">
        <v>2002</v>
      </c>
      <c r="E2561" t="s">
        <v>2390</v>
      </c>
      <c r="F2561" t="s">
        <v>2437</v>
      </c>
      <c r="I2561" t="s">
        <v>2446</v>
      </c>
      <c r="J2561" t="s">
        <v>2450</v>
      </c>
      <c r="K2561" t="s">
        <v>2569</v>
      </c>
      <c r="M2561" t="s">
        <v>2626</v>
      </c>
    </row>
    <row r="2562" spans="1:14">
      <c r="A2562" s="1">
        <f>HYPERLINK("https://lsnyc.legalserver.org/matter/dynamic-profile/view/1853587","17-1853587")</f>
        <v>0</v>
      </c>
      <c r="B2562" t="s">
        <v>18</v>
      </c>
      <c r="C2562" t="s">
        <v>53</v>
      </c>
      <c r="D2562" t="s">
        <v>2003</v>
      </c>
      <c r="E2562" t="s">
        <v>2390</v>
      </c>
      <c r="F2562" t="s">
        <v>2437</v>
      </c>
      <c r="J2562" t="s">
        <v>2488</v>
      </c>
      <c r="K2562" t="s">
        <v>2572</v>
      </c>
      <c r="L2562" t="s">
        <v>2600</v>
      </c>
      <c r="M2562" t="s">
        <v>2626</v>
      </c>
    </row>
    <row r="2563" spans="1:14">
      <c r="A2563" s="1">
        <f>HYPERLINK("https://lsnyc.legalserver.org/matter/dynamic-profile/view/1853007","17-1853007")</f>
        <v>0</v>
      </c>
      <c r="B2563" t="s">
        <v>16</v>
      </c>
      <c r="C2563" t="s">
        <v>23</v>
      </c>
      <c r="D2563" t="s">
        <v>2004</v>
      </c>
      <c r="E2563" t="s">
        <v>2375</v>
      </c>
      <c r="F2563" t="s">
        <v>2437</v>
      </c>
      <c r="I2563" t="s">
        <v>2446</v>
      </c>
      <c r="J2563" t="s">
        <v>2471</v>
      </c>
      <c r="K2563" t="s">
        <v>2572</v>
      </c>
      <c r="L2563" t="s">
        <v>2604</v>
      </c>
      <c r="M2563" t="s">
        <v>2617</v>
      </c>
    </row>
    <row r="2564" spans="1:14">
      <c r="A2564" s="1">
        <f>HYPERLINK("https://lsnyc.legalserver.org/matter/dynamic-profile/view/1852970","17-1852970")</f>
        <v>0</v>
      </c>
      <c r="B2564" t="s">
        <v>17</v>
      </c>
      <c r="C2564" t="s">
        <v>36</v>
      </c>
      <c r="D2564" t="s">
        <v>2005</v>
      </c>
      <c r="E2564" t="s">
        <v>2373</v>
      </c>
      <c r="F2564" t="s">
        <v>2441</v>
      </c>
      <c r="I2564" t="s">
        <v>2446</v>
      </c>
      <c r="J2564" t="s">
        <v>2457</v>
      </c>
      <c r="K2564" t="s">
        <v>2569</v>
      </c>
      <c r="M2564" t="s">
        <v>2615</v>
      </c>
    </row>
    <row r="2565" spans="1:14">
      <c r="A2565" s="1">
        <f>HYPERLINK("https://lsnyc.legalserver.org/matter/dynamic-profile/view/0821997","16-0821997")</f>
        <v>0</v>
      </c>
      <c r="B2565" t="s">
        <v>17</v>
      </c>
      <c r="C2565" t="s">
        <v>60</v>
      </c>
      <c r="D2565" t="s">
        <v>2006</v>
      </c>
      <c r="E2565" t="s">
        <v>2391</v>
      </c>
      <c r="F2565" t="s">
        <v>2439</v>
      </c>
      <c r="J2565" t="s">
        <v>2465</v>
      </c>
      <c r="K2565" t="s">
        <v>2569</v>
      </c>
      <c r="L2565" t="s">
        <v>2602</v>
      </c>
      <c r="M2565" t="s">
        <v>2631</v>
      </c>
    </row>
    <row r="2566" spans="1:14">
      <c r="A2566" s="1">
        <f>HYPERLINK("https://lsnyc.legalserver.org/matter/dynamic-profile/view/1852696","17-1852696")</f>
        <v>0</v>
      </c>
      <c r="B2566" t="s">
        <v>16</v>
      </c>
      <c r="C2566" t="s">
        <v>77</v>
      </c>
      <c r="D2566" t="s">
        <v>2007</v>
      </c>
      <c r="E2566" t="s">
        <v>2390</v>
      </c>
      <c r="F2566" t="s">
        <v>2436</v>
      </c>
      <c r="K2566" t="s">
        <v>2572</v>
      </c>
      <c r="L2566" t="s">
        <v>2601</v>
      </c>
      <c r="M2566" t="s">
        <v>2631</v>
      </c>
    </row>
    <row r="2567" spans="1:14">
      <c r="A2567" s="1">
        <f>HYPERLINK("https://lsnyc.legalserver.org/matter/dynamic-profile/view/1852542","17-1852542")</f>
        <v>0</v>
      </c>
      <c r="B2567" t="s">
        <v>18</v>
      </c>
      <c r="C2567" t="s">
        <v>35</v>
      </c>
      <c r="D2567" t="s">
        <v>2008</v>
      </c>
      <c r="E2567" t="s">
        <v>2394</v>
      </c>
      <c r="F2567" t="s">
        <v>2439</v>
      </c>
      <c r="J2567" t="s">
        <v>2506</v>
      </c>
      <c r="K2567" t="s">
        <v>2572</v>
      </c>
      <c r="L2567" t="s">
        <v>2601</v>
      </c>
      <c r="M2567" t="s">
        <v>2631</v>
      </c>
    </row>
    <row r="2568" spans="1:14">
      <c r="A2568" s="1">
        <f>HYPERLINK("https://lsnyc.legalserver.org/matter/dynamic-profile/view/1852484","17-1852484")</f>
        <v>0</v>
      </c>
      <c r="B2568" t="s">
        <v>14</v>
      </c>
      <c r="C2568" t="s">
        <v>69</v>
      </c>
      <c r="D2568" t="s">
        <v>2009</v>
      </c>
      <c r="E2568" t="s">
        <v>2399</v>
      </c>
      <c r="F2568" t="s">
        <v>2437</v>
      </c>
      <c r="I2568" t="s">
        <v>2446</v>
      </c>
      <c r="J2568" t="s">
        <v>2450</v>
      </c>
      <c r="K2568" t="s">
        <v>2569</v>
      </c>
      <c r="L2568" t="s">
        <v>2603</v>
      </c>
      <c r="M2568" t="s">
        <v>2621</v>
      </c>
    </row>
    <row r="2569" spans="1:14">
      <c r="A2569" s="1">
        <f>HYPERLINK("https://lsnyc.legalserver.org/matter/dynamic-profile/view/1852482","17-1852482")</f>
        <v>0</v>
      </c>
      <c r="B2569" t="s">
        <v>14</v>
      </c>
      <c r="C2569" t="s">
        <v>69</v>
      </c>
      <c r="D2569" t="s">
        <v>2010</v>
      </c>
      <c r="E2569" t="s">
        <v>2399</v>
      </c>
      <c r="F2569" t="s">
        <v>2437</v>
      </c>
      <c r="I2569" t="s">
        <v>2446</v>
      </c>
      <c r="J2569" t="s">
        <v>2450</v>
      </c>
      <c r="K2569" t="s">
        <v>2569</v>
      </c>
      <c r="L2569" t="s">
        <v>2603</v>
      </c>
      <c r="M2569" t="s">
        <v>2621</v>
      </c>
    </row>
    <row r="2570" spans="1:14">
      <c r="A2570" s="1">
        <f>HYPERLINK("https://lsnyc.legalserver.org/matter/dynamic-profile/view/1852483","17-1852483")</f>
        <v>0</v>
      </c>
      <c r="B2570" t="s">
        <v>14</v>
      </c>
      <c r="C2570" t="s">
        <v>69</v>
      </c>
      <c r="D2570" t="s">
        <v>2011</v>
      </c>
      <c r="E2570" t="s">
        <v>2399</v>
      </c>
      <c r="F2570" t="s">
        <v>2437</v>
      </c>
      <c r="I2570" t="s">
        <v>2446</v>
      </c>
      <c r="J2570" t="s">
        <v>2450</v>
      </c>
      <c r="K2570" t="s">
        <v>2569</v>
      </c>
      <c r="L2570" t="s">
        <v>2600</v>
      </c>
      <c r="M2570" t="s">
        <v>2621</v>
      </c>
    </row>
    <row r="2571" spans="1:14">
      <c r="A2571" s="1">
        <f>HYPERLINK("https://lsnyc.legalserver.org/matter/dynamic-profile/view/1852481","17-1852481")</f>
        <v>0</v>
      </c>
      <c r="B2571" t="s">
        <v>14</v>
      </c>
      <c r="C2571" t="s">
        <v>21</v>
      </c>
      <c r="D2571" t="s">
        <v>177</v>
      </c>
      <c r="E2571" t="s">
        <v>2399</v>
      </c>
      <c r="F2571" t="s">
        <v>2437</v>
      </c>
      <c r="I2571" t="s">
        <v>2446</v>
      </c>
      <c r="J2571" t="s">
        <v>2450</v>
      </c>
      <c r="K2571" t="s">
        <v>2569</v>
      </c>
      <c r="L2571" t="s">
        <v>2603</v>
      </c>
      <c r="M2571" t="s">
        <v>2621</v>
      </c>
      <c r="N2571" t="s">
        <v>2648</v>
      </c>
    </row>
    <row r="2572" spans="1:14">
      <c r="A2572" s="1">
        <f>HYPERLINK("https://lsnyc.legalserver.org/matter/dynamic-profile/view/1852495","17-1852495")</f>
        <v>0</v>
      </c>
      <c r="B2572" t="s">
        <v>17</v>
      </c>
      <c r="C2572" t="s">
        <v>28</v>
      </c>
      <c r="D2572" t="s">
        <v>2012</v>
      </c>
      <c r="E2572" t="s">
        <v>2385</v>
      </c>
      <c r="F2572" t="s">
        <v>2438</v>
      </c>
      <c r="I2572" t="s">
        <v>2446</v>
      </c>
      <c r="J2572" t="s">
        <v>2449</v>
      </c>
      <c r="K2572" t="s">
        <v>2569</v>
      </c>
      <c r="M2572" t="s">
        <v>2616</v>
      </c>
    </row>
    <row r="2573" spans="1:14">
      <c r="A2573" s="1">
        <f>HYPERLINK("https://lsnyc.legalserver.org/matter/dynamic-profile/view/1852559","17-1852559")</f>
        <v>0</v>
      </c>
      <c r="B2573" t="s">
        <v>16</v>
      </c>
      <c r="C2573" t="s">
        <v>23</v>
      </c>
      <c r="D2573" t="s">
        <v>2013</v>
      </c>
      <c r="E2573" t="s">
        <v>2374</v>
      </c>
      <c r="F2573" t="s">
        <v>2437</v>
      </c>
      <c r="I2573" t="s">
        <v>2446</v>
      </c>
      <c r="J2573" t="s">
        <v>2452</v>
      </c>
      <c r="K2573" t="s">
        <v>2572</v>
      </c>
      <c r="M2573" t="s">
        <v>2626</v>
      </c>
    </row>
    <row r="2574" spans="1:14">
      <c r="A2574" s="1">
        <f>HYPERLINK("https://lsnyc.legalserver.org/matter/dynamic-profile/view/1852424","17-1852424")</f>
        <v>0</v>
      </c>
      <c r="B2574" t="s">
        <v>18</v>
      </c>
      <c r="C2574" t="s">
        <v>35</v>
      </c>
      <c r="D2574" t="s">
        <v>2014</v>
      </c>
      <c r="E2574" t="s">
        <v>2386</v>
      </c>
      <c r="F2574" t="s">
        <v>2439</v>
      </c>
      <c r="K2574" t="s">
        <v>2572</v>
      </c>
      <c r="L2574" t="s">
        <v>2601</v>
      </c>
      <c r="M2574" t="s">
        <v>2631</v>
      </c>
    </row>
    <row r="2575" spans="1:14">
      <c r="A2575" s="1">
        <f>HYPERLINK("https://lsnyc.legalserver.org/matter/dynamic-profile/view/1852389","17-1852389")</f>
        <v>0</v>
      </c>
      <c r="B2575" t="s">
        <v>16</v>
      </c>
      <c r="C2575" t="s">
        <v>77</v>
      </c>
      <c r="D2575" t="s">
        <v>2015</v>
      </c>
      <c r="E2575" t="s">
        <v>2390</v>
      </c>
      <c r="F2575" t="s">
        <v>2439</v>
      </c>
      <c r="J2575" t="s">
        <v>2534</v>
      </c>
      <c r="K2575" t="s">
        <v>2572</v>
      </c>
      <c r="L2575" t="s">
        <v>2601</v>
      </c>
      <c r="M2575" t="s">
        <v>2631</v>
      </c>
    </row>
    <row r="2576" spans="1:14">
      <c r="A2576" s="1">
        <f>HYPERLINK("https://lsnyc.legalserver.org/matter/dynamic-profile/view/1852459","17-1852459")</f>
        <v>0</v>
      </c>
      <c r="B2576" t="s">
        <v>16</v>
      </c>
      <c r="C2576" t="s">
        <v>23</v>
      </c>
      <c r="D2576" t="s">
        <v>2016</v>
      </c>
      <c r="E2576" t="s">
        <v>2390</v>
      </c>
      <c r="F2576" t="s">
        <v>2439</v>
      </c>
      <c r="I2576" t="s">
        <v>2446</v>
      </c>
      <c r="J2576" t="s">
        <v>2467</v>
      </c>
      <c r="K2576" t="s">
        <v>2572</v>
      </c>
      <c r="L2576" t="s">
        <v>2601</v>
      </c>
      <c r="M2576" t="s">
        <v>2631</v>
      </c>
    </row>
    <row r="2577" spans="1:13">
      <c r="A2577" s="1">
        <f>HYPERLINK("https://lsnyc.legalserver.org/matter/dynamic-profile/view/1852451","17-1852451")</f>
        <v>0</v>
      </c>
      <c r="B2577" t="s">
        <v>15</v>
      </c>
      <c r="C2577" t="s">
        <v>49</v>
      </c>
      <c r="D2577" t="s">
        <v>2017</v>
      </c>
      <c r="E2577" t="s">
        <v>2390</v>
      </c>
      <c r="F2577" t="s">
        <v>2437</v>
      </c>
      <c r="I2577" t="s">
        <v>2446</v>
      </c>
      <c r="J2577" t="s">
        <v>2467</v>
      </c>
      <c r="K2577" t="s">
        <v>2572</v>
      </c>
      <c r="M2577" t="s">
        <v>2619</v>
      </c>
    </row>
    <row r="2578" spans="1:13">
      <c r="A2578" s="1">
        <f>HYPERLINK("https://lsnyc.legalserver.org/matter/dynamic-profile/view/1852477","17-1852477")</f>
        <v>0</v>
      </c>
      <c r="B2578" t="s">
        <v>14</v>
      </c>
      <c r="C2578" t="s">
        <v>20</v>
      </c>
      <c r="D2578" t="s">
        <v>894</v>
      </c>
      <c r="E2578" t="s">
        <v>2370</v>
      </c>
      <c r="F2578" t="s">
        <v>2437</v>
      </c>
      <c r="I2578" t="s">
        <v>2446</v>
      </c>
      <c r="J2578" t="s">
        <v>2450</v>
      </c>
      <c r="K2578" t="s">
        <v>2569</v>
      </c>
      <c r="L2578" t="s">
        <v>2603</v>
      </c>
      <c r="M2578" t="s">
        <v>2638</v>
      </c>
    </row>
    <row r="2579" spans="1:13">
      <c r="A2579" s="1">
        <f>HYPERLINK("https://lsnyc.legalserver.org/matter/dynamic-profile/view/1853173","17-1853173")</f>
        <v>0</v>
      </c>
      <c r="B2579" t="s">
        <v>16</v>
      </c>
      <c r="C2579" t="s">
        <v>23</v>
      </c>
      <c r="D2579" t="s">
        <v>1645</v>
      </c>
      <c r="E2579" t="s">
        <v>2386</v>
      </c>
      <c r="F2579" t="s">
        <v>2437</v>
      </c>
      <c r="I2579" t="s">
        <v>2446</v>
      </c>
      <c r="J2579" t="s">
        <v>2550</v>
      </c>
      <c r="K2579" t="s">
        <v>2596</v>
      </c>
      <c r="M2579" t="s">
        <v>2627</v>
      </c>
    </row>
    <row r="2580" spans="1:13">
      <c r="A2580" s="1">
        <f>HYPERLINK("https://lsnyc.legalserver.org/matter/dynamic-profile/view/1852274","17-1852274")</f>
        <v>0</v>
      </c>
      <c r="B2580" t="s">
        <v>15</v>
      </c>
      <c r="C2580" t="s">
        <v>49</v>
      </c>
      <c r="D2580" t="s">
        <v>2018</v>
      </c>
      <c r="E2580" t="s">
        <v>2390</v>
      </c>
      <c r="F2580" t="s">
        <v>2439</v>
      </c>
      <c r="I2580" t="s">
        <v>2446</v>
      </c>
      <c r="J2580" t="s">
        <v>2558</v>
      </c>
      <c r="K2580" t="s">
        <v>2592</v>
      </c>
      <c r="L2580" t="s">
        <v>2601</v>
      </c>
      <c r="M2580" t="s">
        <v>2631</v>
      </c>
    </row>
    <row r="2581" spans="1:13">
      <c r="A2581" s="1">
        <f>HYPERLINK("https://lsnyc.legalserver.org/matter/dynamic-profile/view/1852585","17-1852585")</f>
        <v>0</v>
      </c>
      <c r="B2581" t="s">
        <v>18</v>
      </c>
      <c r="C2581" t="s">
        <v>53</v>
      </c>
      <c r="D2581" t="s">
        <v>2019</v>
      </c>
      <c r="E2581" t="s">
        <v>2390</v>
      </c>
      <c r="F2581" t="s">
        <v>2439</v>
      </c>
      <c r="I2581" t="s">
        <v>2446</v>
      </c>
      <c r="J2581" t="s">
        <v>2448</v>
      </c>
      <c r="K2581" t="s">
        <v>2569</v>
      </c>
      <c r="L2581" t="s">
        <v>2602</v>
      </c>
      <c r="M2581" t="s">
        <v>2631</v>
      </c>
    </row>
    <row r="2582" spans="1:13">
      <c r="A2582" s="1">
        <f>HYPERLINK("https://lsnyc.legalserver.org/matter/dynamic-profile/view/1853608","17-1853608")</f>
        <v>0</v>
      </c>
      <c r="B2582" t="s">
        <v>18</v>
      </c>
      <c r="C2582" t="s">
        <v>34</v>
      </c>
      <c r="D2582" t="s">
        <v>2020</v>
      </c>
      <c r="E2582" t="s">
        <v>2394</v>
      </c>
      <c r="F2582" t="s">
        <v>2437</v>
      </c>
      <c r="I2582" t="s">
        <v>2446</v>
      </c>
      <c r="J2582" t="s">
        <v>2448</v>
      </c>
      <c r="K2582" t="s">
        <v>2569</v>
      </c>
      <c r="M2582" t="s">
        <v>2627</v>
      </c>
    </row>
    <row r="2583" spans="1:13">
      <c r="A2583" s="1">
        <f>HYPERLINK("https://lsnyc.legalserver.org/matter/dynamic-profile/view/1852227","17-1852227")</f>
        <v>0</v>
      </c>
      <c r="B2583" t="s">
        <v>17</v>
      </c>
      <c r="C2583" t="s">
        <v>25</v>
      </c>
      <c r="D2583" t="s">
        <v>294</v>
      </c>
      <c r="E2583" t="s">
        <v>2385</v>
      </c>
      <c r="F2583" t="s">
        <v>2438</v>
      </c>
      <c r="I2583" t="s">
        <v>2446</v>
      </c>
      <c r="J2583" t="s">
        <v>2559</v>
      </c>
      <c r="K2583" t="s">
        <v>2572</v>
      </c>
      <c r="L2583" t="s">
        <v>2604</v>
      </c>
      <c r="M2583" t="s">
        <v>2616</v>
      </c>
    </row>
    <row r="2584" spans="1:13">
      <c r="A2584" s="1">
        <f>HYPERLINK("https://lsnyc.legalserver.org/matter/dynamic-profile/view/1852054","17-1852054")</f>
        <v>0</v>
      </c>
      <c r="B2584" t="s">
        <v>16</v>
      </c>
      <c r="C2584" t="s">
        <v>23</v>
      </c>
      <c r="D2584" t="s">
        <v>2021</v>
      </c>
      <c r="E2584" t="s">
        <v>2390</v>
      </c>
      <c r="F2584" t="s">
        <v>2436</v>
      </c>
      <c r="K2584" t="s">
        <v>2572</v>
      </c>
      <c r="L2584" t="s">
        <v>2601</v>
      </c>
      <c r="M2584" t="s">
        <v>2631</v>
      </c>
    </row>
    <row r="2585" spans="1:13">
      <c r="A2585" s="1">
        <f>HYPERLINK("https://lsnyc.legalserver.org/matter/dynamic-profile/view/1852014","17-1852014")</f>
        <v>0</v>
      </c>
      <c r="B2585" t="s">
        <v>15</v>
      </c>
      <c r="C2585" t="s">
        <v>32</v>
      </c>
      <c r="D2585" t="s">
        <v>2022</v>
      </c>
      <c r="E2585" t="s">
        <v>2375</v>
      </c>
      <c r="F2585" t="s">
        <v>2437</v>
      </c>
      <c r="J2585" t="s">
        <v>2465</v>
      </c>
      <c r="K2585" t="s">
        <v>2569</v>
      </c>
      <c r="L2585" t="s">
        <v>2600</v>
      </c>
      <c r="M2585" t="s">
        <v>2626</v>
      </c>
    </row>
    <row r="2586" spans="1:13">
      <c r="A2586" s="1">
        <f>HYPERLINK("https://lsnyc.legalserver.org/matter/dynamic-profile/view/1852061","17-1852061")</f>
        <v>0</v>
      </c>
      <c r="B2586" t="s">
        <v>16</v>
      </c>
      <c r="C2586" t="s">
        <v>23</v>
      </c>
      <c r="D2586" t="s">
        <v>2023</v>
      </c>
      <c r="E2586" t="s">
        <v>2375</v>
      </c>
      <c r="F2586" t="s">
        <v>2437</v>
      </c>
      <c r="I2586" t="s">
        <v>2446</v>
      </c>
      <c r="J2586" t="s">
        <v>2471</v>
      </c>
      <c r="K2586" t="s">
        <v>2571</v>
      </c>
      <c r="M2586" t="s">
        <v>2617</v>
      </c>
    </row>
    <row r="2587" spans="1:13">
      <c r="A2587" s="1">
        <f>HYPERLINK("https://lsnyc.legalserver.org/matter/dynamic-profile/view/1852062","17-1852062")</f>
        <v>0</v>
      </c>
      <c r="B2587" t="s">
        <v>16</v>
      </c>
      <c r="C2587" t="s">
        <v>23</v>
      </c>
      <c r="D2587" t="s">
        <v>1775</v>
      </c>
      <c r="E2587" t="s">
        <v>2387</v>
      </c>
      <c r="F2587" t="s">
        <v>2437</v>
      </c>
      <c r="I2587" t="s">
        <v>2446</v>
      </c>
      <c r="J2587" t="s">
        <v>2450</v>
      </c>
      <c r="K2587" t="s">
        <v>2569</v>
      </c>
      <c r="M2587" t="s">
        <v>2629</v>
      </c>
    </row>
    <row r="2588" spans="1:13">
      <c r="A2588" s="1">
        <f>HYPERLINK("https://lsnyc.legalserver.org/matter/dynamic-profile/view/1852073","17-1852073")</f>
        <v>0</v>
      </c>
      <c r="B2588" t="s">
        <v>15</v>
      </c>
      <c r="C2588" t="s">
        <v>49</v>
      </c>
      <c r="D2588" t="s">
        <v>2024</v>
      </c>
      <c r="E2588" t="s">
        <v>2408</v>
      </c>
      <c r="F2588" t="s">
        <v>2437</v>
      </c>
      <c r="J2588" t="s">
        <v>2560</v>
      </c>
      <c r="K2588" t="s">
        <v>2572</v>
      </c>
      <c r="M2588" t="s">
        <v>2619</v>
      </c>
    </row>
    <row r="2589" spans="1:13">
      <c r="A2589" s="1">
        <f>HYPERLINK("https://lsnyc.legalserver.org/matter/dynamic-profile/view/1852005","17-1852005")</f>
        <v>0</v>
      </c>
      <c r="B2589" t="s">
        <v>15</v>
      </c>
      <c r="C2589" t="s">
        <v>37</v>
      </c>
      <c r="D2589" t="s">
        <v>2025</v>
      </c>
      <c r="E2589" t="s">
        <v>2374</v>
      </c>
      <c r="F2589" t="s">
        <v>2438</v>
      </c>
      <c r="I2589" t="s">
        <v>2446</v>
      </c>
      <c r="J2589" t="s">
        <v>2450</v>
      </c>
      <c r="K2589" t="s">
        <v>2569</v>
      </c>
      <c r="M2589" t="s">
        <v>2616</v>
      </c>
    </row>
    <row r="2590" spans="1:13">
      <c r="A2590" s="1">
        <f>HYPERLINK("https://lsnyc.legalserver.org/matter/dynamic-profile/view/1851853","17-1851853")</f>
        <v>0</v>
      </c>
      <c r="B2590" t="s">
        <v>14</v>
      </c>
      <c r="C2590" t="s">
        <v>20</v>
      </c>
      <c r="D2590" t="s">
        <v>1051</v>
      </c>
      <c r="E2590" t="s">
        <v>2374</v>
      </c>
      <c r="F2590" t="s">
        <v>2438</v>
      </c>
      <c r="I2590" t="s">
        <v>2446</v>
      </c>
      <c r="J2590" t="s">
        <v>2450</v>
      </c>
      <c r="K2590" t="s">
        <v>2569</v>
      </c>
      <c r="M2590" t="s">
        <v>2616</v>
      </c>
    </row>
    <row r="2591" spans="1:13">
      <c r="A2591" s="1">
        <f>HYPERLINK("https://lsnyc.legalserver.org/matter/dynamic-profile/view/1851854","17-1851854")</f>
        <v>0</v>
      </c>
      <c r="B2591" t="s">
        <v>14</v>
      </c>
      <c r="C2591" t="s">
        <v>20</v>
      </c>
      <c r="D2591" t="s">
        <v>2026</v>
      </c>
      <c r="E2591" t="s">
        <v>2374</v>
      </c>
      <c r="F2591" t="s">
        <v>2438</v>
      </c>
      <c r="I2591" t="s">
        <v>2446</v>
      </c>
      <c r="J2591" t="s">
        <v>2450</v>
      </c>
      <c r="K2591" t="s">
        <v>2569</v>
      </c>
      <c r="M2591" t="s">
        <v>2616</v>
      </c>
    </row>
    <row r="2592" spans="1:13">
      <c r="A2592" s="1">
        <f>HYPERLINK("https://lsnyc.legalserver.org/matter/dynamic-profile/view/1851855","17-1851855")</f>
        <v>0</v>
      </c>
      <c r="B2592" t="s">
        <v>16</v>
      </c>
      <c r="C2592" t="s">
        <v>49</v>
      </c>
      <c r="D2592" t="s">
        <v>2027</v>
      </c>
      <c r="E2592" t="s">
        <v>2390</v>
      </c>
      <c r="F2592" t="s">
        <v>2437</v>
      </c>
      <c r="I2592" t="s">
        <v>2446</v>
      </c>
      <c r="J2592" t="s">
        <v>2448</v>
      </c>
      <c r="K2592" t="s">
        <v>2569</v>
      </c>
      <c r="M2592" t="s">
        <v>2619</v>
      </c>
    </row>
    <row r="2593" spans="1:14">
      <c r="A2593" s="1">
        <f>HYPERLINK("https://lsnyc.legalserver.org/matter/dynamic-profile/view/1849734","17-1849734")</f>
        <v>0</v>
      </c>
      <c r="B2593" t="s">
        <v>17</v>
      </c>
      <c r="C2593" t="s">
        <v>60</v>
      </c>
      <c r="D2593" t="s">
        <v>2028</v>
      </c>
      <c r="E2593" t="s">
        <v>2387</v>
      </c>
      <c r="F2593" t="s">
        <v>2439</v>
      </c>
      <c r="J2593" t="s">
        <v>2457</v>
      </c>
      <c r="K2593" t="s">
        <v>2569</v>
      </c>
      <c r="L2593" t="s">
        <v>2602</v>
      </c>
      <c r="M2593" t="s">
        <v>2641</v>
      </c>
    </row>
    <row r="2594" spans="1:14">
      <c r="A2594" s="1">
        <f>HYPERLINK("https://lsnyc.legalserver.org/matter/dynamic-profile/view/1851658","17-1851658")</f>
        <v>0</v>
      </c>
      <c r="B2594" t="s">
        <v>14</v>
      </c>
      <c r="C2594" t="s">
        <v>21</v>
      </c>
      <c r="D2594" t="s">
        <v>1455</v>
      </c>
      <c r="E2594" t="s">
        <v>2383</v>
      </c>
      <c r="F2594" t="s">
        <v>2437</v>
      </c>
      <c r="I2594" t="s">
        <v>2446</v>
      </c>
      <c r="J2594" t="s">
        <v>2447</v>
      </c>
      <c r="K2594" t="s">
        <v>2569</v>
      </c>
      <c r="L2594" t="s">
        <v>2600</v>
      </c>
      <c r="M2594" t="s">
        <v>2626</v>
      </c>
    </row>
    <row r="2595" spans="1:14">
      <c r="A2595" s="1">
        <f>HYPERLINK("https://lsnyc.legalserver.org/matter/dynamic-profile/view/1851617","17-1851617")</f>
        <v>0</v>
      </c>
      <c r="B2595" t="s">
        <v>15</v>
      </c>
      <c r="C2595" t="s">
        <v>37</v>
      </c>
      <c r="D2595" t="s">
        <v>2029</v>
      </c>
      <c r="E2595" t="s">
        <v>2374</v>
      </c>
      <c r="F2595" t="s">
        <v>2438</v>
      </c>
      <c r="J2595" t="s">
        <v>2450</v>
      </c>
      <c r="K2595" t="s">
        <v>2569</v>
      </c>
      <c r="M2595" t="s">
        <v>2616</v>
      </c>
    </row>
    <row r="2596" spans="1:14">
      <c r="A2596" s="1">
        <f>HYPERLINK("https://lsnyc.legalserver.org/matter/dynamic-profile/view/1851618","17-1851618")</f>
        <v>0</v>
      </c>
      <c r="B2596" t="s">
        <v>15</v>
      </c>
      <c r="C2596" t="s">
        <v>37</v>
      </c>
      <c r="D2596" t="s">
        <v>1589</v>
      </c>
      <c r="E2596" t="s">
        <v>2374</v>
      </c>
      <c r="F2596" t="s">
        <v>2438</v>
      </c>
      <c r="J2596" t="s">
        <v>2450</v>
      </c>
      <c r="K2596" t="s">
        <v>2569</v>
      </c>
      <c r="M2596" t="s">
        <v>2616</v>
      </c>
    </row>
    <row r="2597" spans="1:14">
      <c r="A2597" s="1">
        <f>HYPERLINK("https://lsnyc.legalserver.org/matter/dynamic-profile/view/1851659","17-1851659")</f>
        <v>0</v>
      </c>
      <c r="B2597" t="s">
        <v>14</v>
      </c>
      <c r="C2597" t="s">
        <v>21</v>
      </c>
      <c r="D2597" t="s">
        <v>2030</v>
      </c>
      <c r="E2597" t="s">
        <v>2383</v>
      </c>
      <c r="F2597" t="s">
        <v>2437</v>
      </c>
      <c r="I2597" t="s">
        <v>2446</v>
      </c>
      <c r="J2597" t="s">
        <v>2457</v>
      </c>
      <c r="K2597" t="s">
        <v>2569</v>
      </c>
      <c r="L2597" t="s">
        <v>2605</v>
      </c>
      <c r="M2597" t="s">
        <v>2624</v>
      </c>
      <c r="N2597" t="s">
        <v>2648</v>
      </c>
    </row>
    <row r="2598" spans="1:14">
      <c r="A2598" s="1">
        <f>HYPERLINK("https://lsnyc.legalserver.org/matter/dynamic-profile/view/1851440","17-1851440")</f>
        <v>0</v>
      </c>
      <c r="B2598" t="s">
        <v>14</v>
      </c>
      <c r="C2598" t="s">
        <v>79</v>
      </c>
      <c r="D2598" t="s">
        <v>2031</v>
      </c>
      <c r="E2598" t="s">
        <v>2394</v>
      </c>
      <c r="F2598" t="s">
        <v>2439</v>
      </c>
      <c r="J2598" t="s">
        <v>2457</v>
      </c>
      <c r="K2598" t="s">
        <v>2569</v>
      </c>
      <c r="L2598" t="s">
        <v>2602</v>
      </c>
      <c r="M2598" t="s">
        <v>2631</v>
      </c>
    </row>
    <row r="2599" spans="1:14">
      <c r="A2599" s="1">
        <f>HYPERLINK("https://lsnyc.legalserver.org/matter/dynamic-profile/view/1851524","17-1851524")</f>
        <v>0</v>
      </c>
      <c r="B2599" t="s">
        <v>17</v>
      </c>
      <c r="C2599" t="s">
        <v>28</v>
      </c>
      <c r="D2599" t="s">
        <v>2032</v>
      </c>
      <c r="E2599" t="s">
        <v>2387</v>
      </c>
      <c r="F2599" t="s">
        <v>2437</v>
      </c>
      <c r="I2599" t="s">
        <v>2446</v>
      </c>
      <c r="J2599" t="s">
        <v>2449</v>
      </c>
      <c r="K2599" t="s">
        <v>2569</v>
      </c>
      <c r="L2599" t="s">
        <v>2604</v>
      </c>
      <c r="M2599" t="s">
        <v>2629</v>
      </c>
    </row>
    <row r="2600" spans="1:14">
      <c r="A2600" s="1">
        <f>HYPERLINK("https://lsnyc.legalserver.org/matter/dynamic-profile/view/1851452","17-1851452")</f>
        <v>0</v>
      </c>
      <c r="B2600" t="s">
        <v>16</v>
      </c>
      <c r="C2600" t="s">
        <v>23</v>
      </c>
      <c r="D2600" t="s">
        <v>2033</v>
      </c>
      <c r="E2600" t="s">
        <v>2375</v>
      </c>
      <c r="F2600" t="s">
        <v>2437</v>
      </c>
      <c r="I2600" t="s">
        <v>2446</v>
      </c>
      <c r="J2600" t="s">
        <v>2452</v>
      </c>
      <c r="K2600" t="s">
        <v>2572</v>
      </c>
      <c r="M2600" t="s">
        <v>2617</v>
      </c>
    </row>
    <row r="2601" spans="1:14">
      <c r="A2601" s="1">
        <f>HYPERLINK("https://lsnyc.legalserver.org/matter/dynamic-profile/view/1851527","17-1851527")</f>
        <v>0</v>
      </c>
      <c r="B2601" t="s">
        <v>15</v>
      </c>
      <c r="C2601" t="s">
        <v>49</v>
      </c>
      <c r="D2601" t="s">
        <v>2034</v>
      </c>
      <c r="E2601" t="s">
        <v>2390</v>
      </c>
      <c r="F2601" t="s">
        <v>2439</v>
      </c>
      <c r="K2601" t="s">
        <v>2572</v>
      </c>
      <c r="M2601" t="s">
        <v>2631</v>
      </c>
    </row>
    <row r="2602" spans="1:14">
      <c r="A2602" s="1">
        <f>HYPERLINK("https://lsnyc.legalserver.org/matter/dynamic-profile/view/1854321","17-1854321")</f>
        <v>0</v>
      </c>
      <c r="B2602" t="s">
        <v>15</v>
      </c>
      <c r="C2602" t="s">
        <v>73</v>
      </c>
      <c r="D2602" t="s">
        <v>2035</v>
      </c>
      <c r="E2602" t="s">
        <v>2406</v>
      </c>
      <c r="F2602" t="s">
        <v>2437</v>
      </c>
      <c r="J2602" t="s">
        <v>2457</v>
      </c>
      <c r="K2602" t="s">
        <v>2569</v>
      </c>
      <c r="L2602" t="s">
        <v>2603</v>
      </c>
      <c r="M2602" t="s">
        <v>2642</v>
      </c>
    </row>
    <row r="2603" spans="1:14">
      <c r="A2603" s="1">
        <f>HYPERLINK("https://lsnyc.legalserver.org/matter/dynamic-profile/view/1851338","17-1851338")</f>
        <v>0</v>
      </c>
      <c r="B2603" t="s">
        <v>16</v>
      </c>
      <c r="C2603" t="s">
        <v>23</v>
      </c>
      <c r="D2603" t="s">
        <v>1760</v>
      </c>
      <c r="E2603" t="s">
        <v>2390</v>
      </c>
      <c r="F2603" t="s">
        <v>2437</v>
      </c>
      <c r="I2603" t="s">
        <v>2446</v>
      </c>
      <c r="J2603" t="s">
        <v>2489</v>
      </c>
      <c r="K2603" t="s">
        <v>2572</v>
      </c>
      <c r="L2603" t="s">
        <v>2600</v>
      </c>
      <c r="M2603" t="s">
        <v>2619</v>
      </c>
    </row>
    <row r="2604" spans="1:14">
      <c r="A2604" s="1">
        <f>HYPERLINK("https://lsnyc.legalserver.org/matter/dynamic-profile/view/1851340","17-1851340")</f>
        <v>0</v>
      </c>
      <c r="B2604" t="s">
        <v>16</v>
      </c>
      <c r="C2604" t="s">
        <v>46</v>
      </c>
      <c r="D2604" t="s">
        <v>2036</v>
      </c>
      <c r="E2604" t="s">
        <v>2408</v>
      </c>
      <c r="F2604" t="s">
        <v>2437</v>
      </c>
      <c r="I2604" t="s">
        <v>2446</v>
      </c>
      <c r="J2604" t="s">
        <v>2452</v>
      </c>
      <c r="K2604" t="s">
        <v>2572</v>
      </c>
      <c r="L2604" t="s">
        <v>2600</v>
      </c>
      <c r="M2604" t="s">
        <v>2626</v>
      </c>
    </row>
    <row r="2605" spans="1:14">
      <c r="A2605" s="1">
        <f>HYPERLINK("https://lsnyc.legalserver.org/matter/dynamic-profile/view/1851269","17-1851269")</f>
        <v>0</v>
      </c>
      <c r="B2605" t="s">
        <v>16</v>
      </c>
      <c r="C2605" t="s">
        <v>23</v>
      </c>
      <c r="D2605" t="s">
        <v>1764</v>
      </c>
      <c r="E2605" t="s">
        <v>2386</v>
      </c>
      <c r="F2605" t="s">
        <v>2437</v>
      </c>
      <c r="I2605" t="s">
        <v>2446</v>
      </c>
      <c r="J2605" t="s">
        <v>2452</v>
      </c>
      <c r="K2605" t="s">
        <v>2569</v>
      </c>
      <c r="M2605" t="s">
        <v>2627</v>
      </c>
    </row>
    <row r="2606" spans="1:14">
      <c r="A2606" s="1">
        <f>HYPERLINK("https://lsnyc.legalserver.org/matter/dynamic-profile/view/1851272","17-1851272")</f>
        <v>0</v>
      </c>
      <c r="B2606" t="s">
        <v>15</v>
      </c>
      <c r="C2606" t="s">
        <v>37</v>
      </c>
      <c r="D2606" t="s">
        <v>1906</v>
      </c>
      <c r="E2606" t="s">
        <v>2374</v>
      </c>
      <c r="F2606" t="s">
        <v>2438</v>
      </c>
      <c r="I2606" t="s">
        <v>2446</v>
      </c>
      <c r="J2606" t="s">
        <v>2449</v>
      </c>
      <c r="K2606" t="s">
        <v>2569</v>
      </c>
      <c r="M2606" t="s">
        <v>2616</v>
      </c>
    </row>
    <row r="2607" spans="1:14">
      <c r="A2607" s="1">
        <f>HYPERLINK("https://lsnyc.legalserver.org/matter/dynamic-profile/view/1851132","17-1851132")</f>
        <v>0</v>
      </c>
      <c r="B2607" t="s">
        <v>16</v>
      </c>
      <c r="C2607" t="s">
        <v>73</v>
      </c>
      <c r="D2607" t="s">
        <v>2037</v>
      </c>
      <c r="E2607" t="s">
        <v>2390</v>
      </c>
      <c r="F2607" t="s">
        <v>2437</v>
      </c>
      <c r="I2607" t="s">
        <v>2446</v>
      </c>
      <c r="J2607" t="s">
        <v>2448</v>
      </c>
      <c r="K2607" t="s">
        <v>2569</v>
      </c>
      <c r="L2607" t="s">
        <v>2601</v>
      </c>
      <c r="M2607" t="s">
        <v>2631</v>
      </c>
    </row>
    <row r="2608" spans="1:14">
      <c r="A2608" s="1">
        <f>HYPERLINK("https://lsnyc.legalserver.org/matter/dynamic-profile/view/1851073","17-1851073")</f>
        <v>0</v>
      </c>
      <c r="B2608" t="s">
        <v>15</v>
      </c>
      <c r="C2608" t="s">
        <v>55</v>
      </c>
      <c r="D2608" t="s">
        <v>2038</v>
      </c>
      <c r="E2608" t="s">
        <v>2387</v>
      </c>
      <c r="F2608" t="s">
        <v>2439</v>
      </c>
      <c r="I2608" t="s">
        <v>2446</v>
      </c>
      <c r="J2608" t="s">
        <v>2457</v>
      </c>
      <c r="K2608" t="s">
        <v>2569</v>
      </c>
      <c r="L2608" t="s">
        <v>2602</v>
      </c>
      <c r="M2608" t="s">
        <v>2641</v>
      </c>
    </row>
    <row r="2609" spans="1:13">
      <c r="A2609" s="1">
        <f>HYPERLINK("https://lsnyc.legalserver.org/matter/dynamic-profile/view/1849352","17-1849352")</f>
        <v>0</v>
      </c>
      <c r="B2609" t="s">
        <v>16</v>
      </c>
      <c r="C2609" t="s">
        <v>31</v>
      </c>
      <c r="D2609" t="s">
        <v>2039</v>
      </c>
      <c r="E2609" t="s">
        <v>2408</v>
      </c>
      <c r="F2609" t="s">
        <v>2436</v>
      </c>
      <c r="K2609" t="s">
        <v>2572</v>
      </c>
      <c r="M2609" t="s">
        <v>2436</v>
      </c>
    </row>
    <row r="2610" spans="1:13">
      <c r="A2610" s="1">
        <f>HYPERLINK("https://lsnyc.legalserver.org/matter/dynamic-profile/view/1851734","17-1851734")</f>
        <v>0</v>
      </c>
      <c r="B2610" t="s">
        <v>15</v>
      </c>
      <c r="C2610" t="s">
        <v>73</v>
      </c>
      <c r="D2610" t="s">
        <v>2040</v>
      </c>
      <c r="E2610" t="s">
        <v>2390</v>
      </c>
      <c r="F2610" t="s">
        <v>2437</v>
      </c>
      <c r="H2610" t="s">
        <v>2445</v>
      </c>
      <c r="J2610" t="s">
        <v>2460</v>
      </c>
      <c r="K2610" t="s">
        <v>2581</v>
      </c>
      <c r="L2610" t="s">
        <v>2604</v>
      </c>
      <c r="M2610" t="s">
        <v>2619</v>
      </c>
    </row>
    <row r="2611" spans="1:13">
      <c r="A2611" s="1">
        <f>HYPERLINK("https://lsnyc.legalserver.org/matter/dynamic-profile/view/0827705","17-0827705")</f>
        <v>0</v>
      </c>
      <c r="B2611" t="s">
        <v>15</v>
      </c>
      <c r="C2611" t="s">
        <v>49</v>
      </c>
      <c r="D2611" t="s">
        <v>2041</v>
      </c>
      <c r="E2611" t="s">
        <v>2390</v>
      </c>
      <c r="F2611" t="s">
        <v>2437</v>
      </c>
      <c r="I2611" t="s">
        <v>2446</v>
      </c>
      <c r="J2611" t="s">
        <v>2534</v>
      </c>
      <c r="K2611" t="s">
        <v>2572</v>
      </c>
      <c r="M2611" t="s">
        <v>2626</v>
      </c>
    </row>
    <row r="2612" spans="1:13">
      <c r="A2612" s="1">
        <f>HYPERLINK("https://lsnyc.legalserver.org/matter/dynamic-profile/view/1850788","17-1850788")</f>
        <v>0</v>
      </c>
      <c r="B2612" t="s">
        <v>16</v>
      </c>
      <c r="C2612" t="s">
        <v>23</v>
      </c>
      <c r="D2612" t="s">
        <v>1735</v>
      </c>
      <c r="E2612" t="s">
        <v>2390</v>
      </c>
      <c r="F2612" t="s">
        <v>2437</v>
      </c>
      <c r="I2612" t="s">
        <v>2446</v>
      </c>
      <c r="J2612" t="s">
        <v>2530</v>
      </c>
      <c r="K2612" t="s">
        <v>2572</v>
      </c>
      <c r="L2612" t="s">
        <v>2600</v>
      </c>
      <c r="M2612" t="s">
        <v>2619</v>
      </c>
    </row>
    <row r="2613" spans="1:13">
      <c r="A2613" s="1">
        <f>HYPERLINK("https://lsnyc.legalserver.org/matter/dynamic-profile/view/1850679","17-1850679")</f>
        <v>0</v>
      </c>
      <c r="B2613" t="s">
        <v>14</v>
      </c>
      <c r="C2613" t="s">
        <v>69</v>
      </c>
      <c r="D2613" t="s">
        <v>2042</v>
      </c>
      <c r="E2613" t="s">
        <v>2431</v>
      </c>
      <c r="F2613" t="s">
        <v>2439</v>
      </c>
      <c r="J2613" t="s">
        <v>2484</v>
      </c>
      <c r="K2613" t="s">
        <v>2582</v>
      </c>
      <c r="L2613" t="s">
        <v>2602</v>
      </c>
      <c r="M2613" t="s">
        <v>2631</v>
      </c>
    </row>
    <row r="2614" spans="1:13">
      <c r="A2614" s="1">
        <f>HYPERLINK("https://lsnyc.legalserver.org/matter/dynamic-profile/view/1850659","17-1850659")</f>
        <v>0</v>
      </c>
      <c r="B2614" t="s">
        <v>16</v>
      </c>
      <c r="C2614" t="s">
        <v>23</v>
      </c>
      <c r="D2614" t="s">
        <v>1497</v>
      </c>
      <c r="E2614" t="s">
        <v>2387</v>
      </c>
      <c r="F2614" t="s">
        <v>2437</v>
      </c>
      <c r="I2614" t="s">
        <v>2446</v>
      </c>
      <c r="J2614" t="s">
        <v>2449</v>
      </c>
      <c r="K2614" t="s">
        <v>2569</v>
      </c>
      <c r="M2614" t="s">
        <v>2629</v>
      </c>
    </row>
    <row r="2615" spans="1:13">
      <c r="A2615" s="1">
        <f>HYPERLINK("https://lsnyc.legalserver.org/matter/dynamic-profile/view/1850691","17-1850691")</f>
        <v>0</v>
      </c>
      <c r="B2615" t="s">
        <v>16</v>
      </c>
      <c r="C2615" t="s">
        <v>46</v>
      </c>
      <c r="D2615" t="s">
        <v>607</v>
      </c>
      <c r="E2615" t="s">
        <v>2390</v>
      </c>
      <c r="F2615" t="s">
        <v>2437</v>
      </c>
      <c r="I2615" t="s">
        <v>2446</v>
      </c>
      <c r="J2615" t="s">
        <v>2511</v>
      </c>
      <c r="K2615" t="s">
        <v>2572</v>
      </c>
      <c r="M2615" t="s">
        <v>2619</v>
      </c>
    </row>
    <row r="2616" spans="1:13">
      <c r="A2616" s="1">
        <f>HYPERLINK("https://lsnyc.legalserver.org/matter/dynamic-profile/view/1850617","17-1850617")</f>
        <v>0</v>
      </c>
      <c r="B2616" t="s">
        <v>15</v>
      </c>
      <c r="C2616" t="s">
        <v>49</v>
      </c>
      <c r="D2616" t="s">
        <v>2043</v>
      </c>
      <c r="E2616" t="s">
        <v>2374</v>
      </c>
      <c r="F2616" t="s">
        <v>2440</v>
      </c>
      <c r="I2616" t="s">
        <v>2446</v>
      </c>
      <c r="J2616" t="s">
        <v>2455</v>
      </c>
      <c r="K2616" t="s">
        <v>2569</v>
      </c>
      <c r="L2616" t="s">
        <v>2601</v>
      </c>
      <c r="M2616" t="s">
        <v>2631</v>
      </c>
    </row>
    <row r="2617" spans="1:13">
      <c r="A2617" s="1">
        <f>HYPERLINK("https://lsnyc.legalserver.org/matter/dynamic-profile/view/1848890","17-1848890")</f>
        <v>0</v>
      </c>
      <c r="B2617" t="s">
        <v>17</v>
      </c>
      <c r="C2617" t="s">
        <v>56</v>
      </c>
      <c r="D2617" t="s">
        <v>530</v>
      </c>
      <c r="E2617" t="s">
        <v>2370</v>
      </c>
      <c r="F2617" t="s">
        <v>2437</v>
      </c>
      <c r="I2617" t="s">
        <v>2446</v>
      </c>
      <c r="J2617" t="s">
        <v>2457</v>
      </c>
      <c r="K2617" t="s">
        <v>2569</v>
      </c>
      <c r="L2617" t="s">
        <v>2600</v>
      </c>
      <c r="M2617" t="s">
        <v>2638</v>
      </c>
    </row>
    <row r="2618" spans="1:13">
      <c r="A2618" s="1">
        <f>HYPERLINK("https://lsnyc.legalserver.org/matter/dynamic-profile/view/1850429","17-1850429")</f>
        <v>0</v>
      </c>
      <c r="B2618" t="s">
        <v>14</v>
      </c>
      <c r="C2618" t="s">
        <v>20</v>
      </c>
      <c r="D2618" t="s">
        <v>2044</v>
      </c>
      <c r="E2618" t="s">
        <v>2432</v>
      </c>
      <c r="F2618" t="s">
        <v>2439</v>
      </c>
      <c r="J2618" t="s">
        <v>2455</v>
      </c>
      <c r="K2618" t="s">
        <v>2569</v>
      </c>
      <c r="L2618" t="s">
        <v>2602</v>
      </c>
      <c r="M2618" t="s">
        <v>2631</v>
      </c>
    </row>
    <row r="2619" spans="1:13">
      <c r="A2619" s="1">
        <f>HYPERLINK("https://lsnyc.legalserver.org/matter/dynamic-profile/view/1850489","17-1850489")</f>
        <v>0</v>
      </c>
      <c r="B2619" t="s">
        <v>16</v>
      </c>
      <c r="C2619" t="s">
        <v>23</v>
      </c>
      <c r="D2619" t="s">
        <v>2045</v>
      </c>
      <c r="E2619" t="s">
        <v>2390</v>
      </c>
      <c r="F2619" t="s">
        <v>2436</v>
      </c>
      <c r="K2619" t="s">
        <v>2572</v>
      </c>
      <c r="L2619" t="s">
        <v>2601</v>
      </c>
      <c r="M2619" t="s">
        <v>2631</v>
      </c>
    </row>
    <row r="2620" spans="1:13">
      <c r="A2620" s="1">
        <f>HYPERLINK("https://lsnyc.legalserver.org/matter/dynamic-profile/view/1850416","17-1850416")</f>
        <v>0</v>
      </c>
      <c r="B2620" t="s">
        <v>14</v>
      </c>
      <c r="C2620" t="s">
        <v>43</v>
      </c>
      <c r="D2620" t="s">
        <v>2046</v>
      </c>
      <c r="E2620" t="s">
        <v>2378</v>
      </c>
      <c r="F2620" t="s">
        <v>2437</v>
      </c>
      <c r="I2620" t="s">
        <v>2446</v>
      </c>
      <c r="J2620" t="s">
        <v>2448</v>
      </c>
      <c r="K2620" t="s">
        <v>2569</v>
      </c>
      <c r="L2620" t="s">
        <v>2604</v>
      </c>
      <c r="M2620" t="s">
        <v>2619</v>
      </c>
    </row>
    <row r="2621" spans="1:13">
      <c r="A2621" s="1">
        <f>HYPERLINK("https://lsnyc.legalserver.org/matter/dynamic-profile/view/1850486","17-1850486")</f>
        <v>0</v>
      </c>
      <c r="B2621" t="s">
        <v>15</v>
      </c>
      <c r="C2621" t="s">
        <v>49</v>
      </c>
      <c r="D2621" t="s">
        <v>2047</v>
      </c>
      <c r="E2621" t="s">
        <v>2390</v>
      </c>
      <c r="F2621" t="s">
        <v>2439</v>
      </c>
      <c r="K2621" t="s">
        <v>2572</v>
      </c>
      <c r="M2621" t="s">
        <v>2631</v>
      </c>
    </row>
    <row r="2622" spans="1:13">
      <c r="A2622" s="1">
        <f>HYPERLINK("https://lsnyc.legalserver.org/matter/dynamic-profile/view/1850295","17-1850295")</f>
        <v>0</v>
      </c>
      <c r="B2622" t="s">
        <v>17</v>
      </c>
      <c r="C2622" t="s">
        <v>28</v>
      </c>
      <c r="D2622" t="s">
        <v>1488</v>
      </c>
      <c r="E2622" t="s">
        <v>2385</v>
      </c>
      <c r="F2622" t="s">
        <v>2438</v>
      </c>
      <c r="I2622" t="s">
        <v>2446</v>
      </c>
      <c r="J2622" t="s">
        <v>2457</v>
      </c>
      <c r="K2622" t="s">
        <v>2569</v>
      </c>
      <c r="M2622" t="s">
        <v>2616</v>
      </c>
    </row>
    <row r="2623" spans="1:13">
      <c r="A2623" s="1">
        <f>HYPERLINK("https://lsnyc.legalserver.org/matter/dynamic-profile/view/1850299","17-1850299")</f>
        <v>0</v>
      </c>
      <c r="B2623" t="s">
        <v>17</v>
      </c>
      <c r="C2623" t="s">
        <v>42</v>
      </c>
      <c r="D2623" t="s">
        <v>1483</v>
      </c>
      <c r="E2623" t="s">
        <v>2385</v>
      </c>
      <c r="F2623" t="s">
        <v>2438</v>
      </c>
      <c r="I2623" t="s">
        <v>2446</v>
      </c>
      <c r="J2623" t="s">
        <v>2457</v>
      </c>
      <c r="K2623" t="s">
        <v>2569</v>
      </c>
      <c r="M2623" t="s">
        <v>2616</v>
      </c>
    </row>
    <row r="2624" spans="1:13">
      <c r="A2624" s="1">
        <f>HYPERLINK("https://lsnyc.legalserver.org/matter/dynamic-profile/view/1850266","17-1850266")</f>
        <v>0</v>
      </c>
      <c r="B2624" t="s">
        <v>15</v>
      </c>
      <c r="C2624" t="s">
        <v>37</v>
      </c>
      <c r="D2624" t="s">
        <v>2048</v>
      </c>
      <c r="E2624" t="s">
        <v>2374</v>
      </c>
      <c r="F2624" t="s">
        <v>2442</v>
      </c>
      <c r="J2624" t="s">
        <v>2470</v>
      </c>
      <c r="K2624" t="s">
        <v>2577</v>
      </c>
      <c r="L2624" t="s">
        <v>2601</v>
      </c>
      <c r="M2624" t="s">
        <v>2631</v>
      </c>
    </row>
    <row r="2625" spans="1:13">
      <c r="A2625" s="1">
        <f>HYPERLINK("https://lsnyc.legalserver.org/matter/dynamic-profile/view/1850175","17-1850175")</f>
        <v>0</v>
      </c>
      <c r="B2625" t="s">
        <v>14</v>
      </c>
      <c r="C2625" t="s">
        <v>69</v>
      </c>
      <c r="D2625" t="s">
        <v>2049</v>
      </c>
      <c r="E2625" t="s">
        <v>2387</v>
      </c>
      <c r="F2625" t="s">
        <v>2437</v>
      </c>
      <c r="I2625" t="s">
        <v>2446</v>
      </c>
      <c r="J2625" t="s">
        <v>2457</v>
      </c>
      <c r="K2625" t="s">
        <v>2569</v>
      </c>
      <c r="L2625" t="s">
        <v>2601</v>
      </c>
      <c r="M2625" t="s">
        <v>2641</v>
      </c>
    </row>
    <row r="2626" spans="1:13">
      <c r="A2626" s="1">
        <f>HYPERLINK("https://lsnyc.legalserver.org/matter/dynamic-profile/view/1850235","17-1850235")</f>
        <v>0</v>
      </c>
      <c r="B2626" t="s">
        <v>17</v>
      </c>
      <c r="C2626" t="s">
        <v>36</v>
      </c>
      <c r="D2626" t="s">
        <v>2050</v>
      </c>
      <c r="E2626" t="s">
        <v>2375</v>
      </c>
      <c r="F2626" t="s">
        <v>2437</v>
      </c>
      <c r="I2626" t="s">
        <v>2446</v>
      </c>
      <c r="J2626" t="s">
        <v>2498</v>
      </c>
      <c r="K2626" t="s">
        <v>2572</v>
      </c>
      <c r="M2626" t="s">
        <v>2617</v>
      </c>
    </row>
    <row r="2627" spans="1:13">
      <c r="A2627" s="1">
        <f>HYPERLINK("https://lsnyc.legalserver.org/matter/dynamic-profile/view/1850246","17-1850246")</f>
        <v>0</v>
      </c>
      <c r="B2627" t="s">
        <v>16</v>
      </c>
      <c r="C2627" t="s">
        <v>23</v>
      </c>
      <c r="D2627" t="s">
        <v>1731</v>
      </c>
      <c r="E2627" t="s">
        <v>2390</v>
      </c>
      <c r="F2627" t="s">
        <v>2437</v>
      </c>
      <c r="I2627" t="s">
        <v>2446</v>
      </c>
      <c r="J2627" t="s">
        <v>2448</v>
      </c>
      <c r="K2627" t="s">
        <v>2572</v>
      </c>
      <c r="L2627" t="s">
        <v>2600</v>
      </c>
      <c r="M2627" t="s">
        <v>2619</v>
      </c>
    </row>
    <row r="2628" spans="1:13">
      <c r="A2628" s="1">
        <f>HYPERLINK("https://lsnyc.legalserver.org/matter/dynamic-profile/view/1850111","17-1850111")</f>
        <v>0</v>
      </c>
      <c r="B2628" t="s">
        <v>14</v>
      </c>
      <c r="C2628" t="s">
        <v>44</v>
      </c>
      <c r="D2628" t="s">
        <v>2051</v>
      </c>
      <c r="E2628" t="s">
        <v>2381</v>
      </c>
      <c r="F2628" t="s">
        <v>2442</v>
      </c>
      <c r="I2628" t="s">
        <v>2446</v>
      </c>
      <c r="J2628" t="s">
        <v>2447</v>
      </c>
      <c r="K2628" t="s">
        <v>2569</v>
      </c>
      <c r="L2628" t="s">
        <v>2600</v>
      </c>
      <c r="M2628" t="s">
        <v>2622</v>
      </c>
    </row>
    <row r="2629" spans="1:13">
      <c r="A2629" s="1">
        <f>HYPERLINK("https://lsnyc.legalserver.org/matter/dynamic-profile/view/1850023","17-1850023")</f>
        <v>0</v>
      </c>
      <c r="B2629" t="s">
        <v>16</v>
      </c>
      <c r="C2629" t="s">
        <v>77</v>
      </c>
      <c r="D2629" t="s">
        <v>2052</v>
      </c>
      <c r="E2629" t="s">
        <v>2390</v>
      </c>
      <c r="F2629" t="s">
        <v>2439</v>
      </c>
      <c r="K2629" t="s">
        <v>2572</v>
      </c>
      <c r="L2629" t="s">
        <v>2601</v>
      </c>
      <c r="M2629" t="s">
        <v>2631</v>
      </c>
    </row>
    <row r="2630" spans="1:13">
      <c r="A2630" s="1">
        <f>HYPERLINK("https://lsnyc.legalserver.org/matter/dynamic-profile/view/1849930","17-1849930")</f>
        <v>0</v>
      </c>
      <c r="B2630" t="s">
        <v>14</v>
      </c>
      <c r="C2630" t="s">
        <v>69</v>
      </c>
      <c r="D2630" t="s">
        <v>2053</v>
      </c>
      <c r="E2630" t="s">
        <v>2431</v>
      </c>
      <c r="F2630" t="s">
        <v>2439</v>
      </c>
      <c r="J2630" t="s">
        <v>2450</v>
      </c>
      <c r="K2630" t="s">
        <v>2569</v>
      </c>
      <c r="L2630" t="s">
        <v>2602</v>
      </c>
      <c r="M2630" t="s">
        <v>2631</v>
      </c>
    </row>
    <row r="2631" spans="1:13">
      <c r="A2631" s="1">
        <f>HYPERLINK("https://lsnyc.legalserver.org/matter/dynamic-profile/view/1850036","17-1850036")</f>
        <v>0</v>
      </c>
      <c r="B2631" t="s">
        <v>15</v>
      </c>
      <c r="C2631" t="s">
        <v>37</v>
      </c>
      <c r="D2631" t="s">
        <v>2054</v>
      </c>
      <c r="E2631" t="s">
        <v>2390</v>
      </c>
      <c r="F2631" t="s">
        <v>2439</v>
      </c>
      <c r="J2631" t="s">
        <v>2486</v>
      </c>
      <c r="K2631" t="s">
        <v>2577</v>
      </c>
      <c r="L2631" t="s">
        <v>2601</v>
      </c>
      <c r="M2631" t="s">
        <v>2631</v>
      </c>
    </row>
    <row r="2632" spans="1:13">
      <c r="A2632" s="1">
        <f>HYPERLINK("https://lsnyc.legalserver.org/matter/dynamic-profile/view/1850026","17-1850026")</f>
        <v>0</v>
      </c>
      <c r="B2632" t="s">
        <v>15</v>
      </c>
      <c r="C2632" t="s">
        <v>31</v>
      </c>
      <c r="D2632" t="s">
        <v>2055</v>
      </c>
      <c r="E2632" t="s">
        <v>2390</v>
      </c>
      <c r="F2632" t="s">
        <v>2437</v>
      </c>
      <c r="I2632" t="s">
        <v>2446</v>
      </c>
      <c r="J2632" t="s">
        <v>2467</v>
      </c>
      <c r="K2632" t="s">
        <v>2572</v>
      </c>
      <c r="M2632" t="s">
        <v>2619</v>
      </c>
    </row>
    <row r="2633" spans="1:13">
      <c r="A2633" s="1">
        <f>HYPERLINK("https://lsnyc.legalserver.org/matter/dynamic-profile/view/1849842","17-1849842")</f>
        <v>0</v>
      </c>
      <c r="B2633" t="s">
        <v>14</v>
      </c>
      <c r="C2633" t="s">
        <v>69</v>
      </c>
      <c r="D2633" t="s">
        <v>2056</v>
      </c>
      <c r="F2633" t="s">
        <v>2439</v>
      </c>
      <c r="J2633" t="s">
        <v>2488</v>
      </c>
      <c r="K2633" t="s">
        <v>2569</v>
      </c>
      <c r="L2633" t="s">
        <v>2602</v>
      </c>
      <c r="M2633" t="s">
        <v>2631</v>
      </c>
    </row>
    <row r="2634" spans="1:13">
      <c r="A2634" s="1">
        <f>HYPERLINK("https://lsnyc.legalserver.org/matter/dynamic-profile/view/1849884","17-1849884")</f>
        <v>0</v>
      </c>
      <c r="B2634" t="s">
        <v>16</v>
      </c>
      <c r="C2634" t="s">
        <v>77</v>
      </c>
      <c r="D2634" t="s">
        <v>2057</v>
      </c>
      <c r="E2634" t="s">
        <v>2390</v>
      </c>
      <c r="F2634" t="s">
        <v>2439</v>
      </c>
      <c r="K2634" t="s">
        <v>2569</v>
      </c>
      <c r="L2634" t="s">
        <v>2601</v>
      </c>
      <c r="M2634" t="s">
        <v>2631</v>
      </c>
    </row>
    <row r="2635" spans="1:13">
      <c r="A2635" s="1">
        <f>HYPERLINK("https://lsnyc.legalserver.org/matter/dynamic-profile/view/1849762","17-1849762")</f>
        <v>0</v>
      </c>
      <c r="B2635" t="s">
        <v>15</v>
      </c>
      <c r="C2635" t="s">
        <v>50</v>
      </c>
      <c r="D2635" t="s">
        <v>2058</v>
      </c>
      <c r="E2635" t="s">
        <v>2376</v>
      </c>
      <c r="F2635" t="s">
        <v>2437</v>
      </c>
      <c r="J2635" t="s">
        <v>2455</v>
      </c>
      <c r="K2635" t="s">
        <v>2569</v>
      </c>
      <c r="L2635" t="s">
        <v>2603</v>
      </c>
      <c r="M2635" t="s">
        <v>2618</v>
      </c>
    </row>
    <row r="2636" spans="1:13">
      <c r="A2636" s="1">
        <f>HYPERLINK("https://lsnyc.legalserver.org/matter/dynamic-profile/view/1849682","17-1849682")</f>
        <v>0</v>
      </c>
      <c r="B2636" t="s">
        <v>16</v>
      </c>
      <c r="C2636" t="s">
        <v>77</v>
      </c>
      <c r="D2636" t="s">
        <v>2059</v>
      </c>
      <c r="E2636" t="s">
        <v>2390</v>
      </c>
      <c r="F2636" t="s">
        <v>2439</v>
      </c>
      <c r="K2636" t="s">
        <v>2569</v>
      </c>
      <c r="L2636" t="s">
        <v>2601</v>
      </c>
      <c r="M2636" t="s">
        <v>2631</v>
      </c>
    </row>
    <row r="2637" spans="1:13">
      <c r="A2637" s="1">
        <f>HYPERLINK("https://lsnyc.legalserver.org/matter/dynamic-profile/view/1847378","17-1847378")</f>
        <v>0</v>
      </c>
      <c r="B2637" t="s">
        <v>17</v>
      </c>
      <c r="C2637" t="s">
        <v>56</v>
      </c>
      <c r="D2637" t="s">
        <v>2060</v>
      </c>
      <c r="E2637" t="s">
        <v>2386</v>
      </c>
      <c r="F2637" t="s">
        <v>2437</v>
      </c>
      <c r="I2637" t="s">
        <v>2446</v>
      </c>
      <c r="J2637" t="s">
        <v>2471</v>
      </c>
      <c r="K2637" t="s">
        <v>2571</v>
      </c>
      <c r="L2637" t="s">
        <v>2600</v>
      </c>
      <c r="M2637" t="s">
        <v>2627</v>
      </c>
    </row>
    <row r="2638" spans="1:13">
      <c r="A2638" s="1">
        <f>HYPERLINK("https://lsnyc.legalserver.org/matter/dynamic-profile/view/1849685","17-1849685")</f>
        <v>0</v>
      </c>
      <c r="B2638" t="s">
        <v>17</v>
      </c>
      <c r="C2638" t="s">
        <v>42</v>
      </c>
      <c r="D2638" t="s">
        <v>2061</v>
      </c>
      <c r="E2638" t="s">
        <v>2374</v>
      </c>
      <c r="F2638" t="s">
        <v>2438</v>
      </c>
      <c r="I2638" t="s">
        <v>2446</v>
      </c>
      <c r="J2638" t="s">
        <v>2449</v>
      </c>
      <c r="K2638" t="s">
        <v>2569</v>
      </c>
      <c r="L2638" t="s">
        <v>2600</v>
      </c>
      <c r="M2638" t="s">
        <v>2616</v>
      </c>
    </row>
    <row r="2639" spans="1:13">
      <c r="A2639" s="1">
        <f>HYPERLINK("https://lsnyc.legalserver.org/matter/dynamic-profile/view/1849599","17-1849599")</f>
        <v>0</v>
      </c>
      <c r="B2639" t="s">
        <v>16</v>
      </c>
      <c r="C2639" t="s">
        <v>77</v>
      </c>
      <c r="D2639" t="s">
        <v>2062</v>
      </c>
      <c r="E2639" t="s">
        <v>2390</v>
      </c>
      <c r="F2639" t="s">
        <v>2439</v>
      </c>
      <c r="K2639" t="s">
        <v>2572</v>
      </c>
      <c r="L2639" t="s">
        <v>2601</v>
      </c>
      <c r="M2639" t="s">
        <v>2631</v>
      </c>
    </row>
    <row r="2640" spans="1:13">
      <c r="A2640" s="1">
        <f>HYPERLINK("https://lsnyc.legalserver.org/matter/dynamic-profile/view/1849635","17-1849635")</f>
        <v>0</v>
      </c>
      <c r="B2640" t="s">
        <v>16</v>
      </c>
      <c r="C2640" t="s">
        <v>23</v>
      </c>
      <c r="D2640" t="s">
        <v>1571</v>
      </c>
      <c r="E2640" t="s">
        <v>2390</v>
      </c>
      <c r="F2640" t="s">
        <v>2437</v>
      </c>
      <c r="I2640" t="s">
        <v>2446</v>
      </c>
      <c r="J2640" t="s">
        <v>2466</v>
      </c>
      <c r="K2640" t="s">
        <v>2572</v>
      </c>
      <c r="L2640" t="s">
        <v>2600</v>
      </c>
      <c r="M2640" t="s">
        <v>2626</v>
      </c>
    </row>
    <row r="2641" spans="1:13">
      <c r="A2641" s="1">
        <f>HYPERLINK("https://lsnyc.legalserver.org/matter/dynamic-profile/view/1851141","17-1851141")</f>
        <v>0</v>
      </c>
      <c r="B2641" t="s">
        <v>15</v>
      </c>
      <c r="C2641" t="s">
        <v>31</v>
      </c>
      <c r="D2641" t="s">
        <v>2063</v>
      </c>
      <c r="E2641" t="s">
        <v>2376</v>
      </c>
      <c r="F2641" t="s">
        <v>2437</v>
      </c>
      <c r="J2641" t="s">
        <v>2490</v>
      </c>
      <c r="K2641" t="s">
        <v>2572</v>
      </c>
      <c r="M2641" t="s">
        <v>2618</v>
      </c>
    </row>
    <row r="2642" spans="1:13">
      <c r="A2642" s="1">
        <f>HYPERLINK("https://lsnyc.legalserver.org/matter/dynamic-profile/view/1851169","17-1851169")</f>
        <v>0</v>
      </c>
      <c r="B2642" t="s">
        <v>15</v>
      </c>
      <c r="C2642" t="s">
        <v>31</v>
      </c>
      <c r="D2642" t="s">
        <v>2064</v>
      </c>
      <c r="E2642" t="s">
        <v>2376</v>
      </c>
      <c r="F2642" t="s">
        <v>2437</v>
      </c>
      <c r="J2642" t="s">
        <v>2490</v>
      </c>
      <c r="K2642" t="s">
        <v>2572</v>
      </c>
      <c r="M2642" t="s">
        <v>2618</v>
      </c>
    </row>
    <row r="2643" spans="1:13">
      <c r="A2643" s="1">
        <f>HYPERLINK("https://lsnyc.legalserver.org/matter/dynamic-profile/view/1849433","17-1849433")</f>
        <v>0</v>
      </c>
      <c r="B2643" t="s">
        <v>14</v>
      </c>
      <c r="C2643" t="s">
        <v>20</v>
      </c>
      <c r="D2643" t="s">
        <v>1103</v>
      </c>
      <c r="E2643" t="s">
        <v>2385</v>
      </c>
      <c r="F2643" t="s">
        <v>2438</v>
      </c>
      <c r="I2643" t="s">
        <v>2446</v>
      </c>
      <c r="J2643" t="s">
        <v>2504</v>
      </c>
      <c r="K2643" t="s">
        <v>2579</v>
      </c>
      <c r="L2643" t="s">
        <v>2600</v>
      </c>
      <c r="M2643" t="s">
        <v>2616</v>
      </c>
    </row>
    <row r="2644" spans="1:13">
      <c r="A2644" s="1">
        <f>HYPERLINK("https://lsnyc.legalserver.org/matter/dynamic-profile/view/1847651","17-1847651")</f>
        <v>0</v>
      </c>
      <c r="B2644" t="s">
        <v>17</v>
      </c>
      <c r="C2644" t="s">
        <v>36</v>
      </c>
      <c r="D2644" t="s">
        <v>2065</v>
      </c>
      <c r="E2644" t="s">
        <v>2374</v>
      </c>
      <c r="F2644" t="s">
        <v>2438</v>
      </c>
      <c r="I2644" t="s">
        <v>2446</v>
      </c>
      <c r="J2644" t="s">
        <v>2522</v>
      </c>
      <c r="K2644" t="s">
        <v>2578</v>
      </c>
      <c r="M2644" t="s">
        <v>2616</v>
      </c>
    </row>
    <row r="2645" spans="1:13">
      <c r="A2645" s="1">
        <f>HYPERLINK("https://lsnyc.legalserver.org/matter/dynamic-profile/view/1849376","17-1849376")</f>
        <v>0</v>
      </c>
      <c r="B2645" t="s">
        <v>14</v>
      </c>
      <c r="C2645" t="s">
        <v>43</v>
      </c>
      <c r="D2645" t="s">
        <v>2066</v>
      </c>
      <c r="E2645" t="s">
        <v>2394</v>
      </c>
      <c r="F2645" t="s">
        <v>2437</v>
      </c>
      <c r="I2645" t="s">
        <v>2446</v>
      </c>
      <c r="J2645" t="s">
        <v>2448</v>
      </c>
      <c r="K2645" t="s">
        <v>2572</v>
      </c>
      <c r="L2645" t="s">
        <v>2609</v>
      </c>
      <c r="M2645" t="s">
        <v>2627</v>
      </c>
    </row>
    <row r="2646" spans="1:13">
      <c r="A2646" s="1">
        <f>HYPERLINK("https://lsnyc.legalserver.org/matter/dynamic-profile/view/1849293","17-1849293")</f>
        <v>0</v>
      </c>
      <c r="B2646" t="s">
        <v>16</v>
      </c>
      <c r="C2646" t="s">
        <v>23</v>
      </c>
      <c r="D2646" t="s">
        <v>1729</v>
      </c>
      <c r="E2646" t="s">
        <v>2390</v>
      </c>
      <c r="F2646" t="s">
        <v>2437</v>
      </c>
      <c r="I2646" t="s">
        <v>2446</v>
      </c>
      <c r="J2646" t="s">
        <v>2448</v>
      </c>
      <c r="K2646" t="s">
        <v>2569</v>
      </c>
      <c r="M2646" t="s">
        <v>2619</v>
      </c>
    </row>
    <row r="2647" spans="1:13">
      <c r="A2647" s="1">
        <f>HYPERLINK("https://lsnyc.legalserver.org/matter/dynamic-profile/view/1849088","17-1849088")</f>
        <v>0</v>
      </c>
      <c r="B2647" t="s">
        <v>14</v>
      </c>
      <c r="C2647" t="s">
        <v>69</v>
      </c>
      <c r="D2647" t="s">
        <v>1029</v>
      </c>
      <c r="E2647" t="s">
        <v>2374</v>
      </c>
      <c r="F2647" t="s">
        <v>2438</v>
      </c>
      <c r="I2647" t="s">
        <v>2446</v>
      </c>
      <c r="J2647" t="s">
        <v>2458</v>
      </c>
      <c r="K2647" t="s">
        <v>2569</v>
      </c>
      <c r="L2647" t="s">
        <v>2603</v>
      </c>
      <c r="M2647" t="s">
        <v>2616</v>
      </c>
    </row>
    <row r="2648" spans="1:13">
      <c r="A2648" s="1">
        <f>HYPERLINK("https://lsnyc.legalserver.org/matter/dynamic-profile/view/1849171","17-1849171")</f>
        <v>0</v>
      </c>
      <c r="B2648" t="s">
        <v>15</v>
      </c>
      <c r="C2648" t="s">
        <v>37</v>
      </c>
      <c r="D2648" t="s">
        <v>2067</v>
      </c>
      <c r="E2648" t="s">
        <v>2381</v>
      </c>
      <c r="F2648" t="s">
        <v>2437</v>
      </c>
      <c r="I2648" t="s">
        <v>2446</v>
      </c>
      <c r="J2648" t="s">
        <v>2467</v>
      </c>
      <c r="L2648" t="s">
        <v>2600</v>
      </c>
      <c r="M2648" t="s">
        <v>2622</v>
      </c>
    </row>
    <row r="2649" spans="1:13">
      <c r="A2649" s="1">
        <f>HYPERLINK("https://lsnyc.legalserver.org/matter/dynamic-profile/view/1849046","17-1849046")</f>
        <v>0</v>
      </c>
      <c r="B2649" t="s">
        <v>19</v>
      </c>
      <c r="C2649" t="s">
        <v>50</v>
      </c>
      <c r="D2649" t="s">
        <v>2068</v>
      </c>
      <c r="E2649" t="s">
        <v>2429</v>
      </c>
      <c r="F2649" t="s">
        <v>2437</v>
      </c>
      <c r="I2649" t="s">
        <v>2446</v>
      </c>
      <c r="J2649" t="s">
        <v>2450</v>
      </c>
      <c r="K2649" t="s">
        <v>2569</v>
      </c>
      <c r="L2649" t="s">
        <v>2603</v>
      </c>
      <c r="M2649" t="s">
        <v>2626</v>
      </c>
    </row>
    <row r="2650" spans="1:13">
      <c r="A2650" s="1">
        <f>HYPERLINK("https://lsnyc.legalserver.org/matter/dynamic-profile/view/1848676","17-1848676")</f>
        <v>0</v>
      </c>
      <c r="B2650" t="s">
        <v>17</v>
      </c>
      <c r="C2650" t="s">
        <v>42</v>
      </c>
      <c r="D2650" t="s">
        <v>2069</v>
      </c>
      <c r="E2650" t="s">
        <v>2375</v>
      </c>
      <c r="F2650" t="s">
        <v>2437</v>
      </c>
      <c r="I2650" t="s">
        <v>2446</v>
      </c>
      <c r="J2650" t="s">
        <v>2454</v>
      </c>
      <c r="K2650" t="s">
        <v>2572</v>
      </c>
      <c r="L2650" t="s">
        <v>2600</v>
      </c>
      <c r="M2650" t="s">
        <v>2617</v>
      </c>
    </row>
    <row r="2651" spans="1:13">
      <c r="A2651" s="1">
        <f>HYPERLINK("https://lsnyc.legalserver.org/matter/dynamic-profile/view/1848994","17-1848994")</f>
        <v>0</v>
      </c>
      <c r="B2651" t="s">
        <v>14</v>
      </c>
      <c r="C2651" t="s">
        <v>73</v>
      </c>
      <c r="D2651" t="s">
        <v>2070</v>
      </c>
      <c r="E2651" t="s">
        <v>2387</v>
      </c>
      <c r="F2651" t="s">
        <v>2437</v>
      </c>
      <c r="I2651" t="s">
        <v>2446</v>
      </c>
      <c r="J2651" t="s">
        <v>2457</v>
      </c>
      <c r="K2651" t="s">
        <v>2569</v>
      </c>
      <c r="L2651" t="s">
        <v>2600</v>
      </c>
      <c r="M2651" t="s">
        <v>2629</v>
      </c>
    </row>
    <row r="2652" spans="1:13">
      <c r="A2652" s="1">
        <f>HYPERLINK("https://lsnyc.legalserver.org/matter/dynamic-profile/view/1848815","17-1848815")</f>
        <v>0</v>
      </c>
      <c r="B2652" t="s">
        <v>16</v>
      </c>
      <c r="C2652" t="s">
        <v>77</v>
      </c>
      <c r="D2652" t="s">
        <v>2071</v>
      </c>
      <c r="E2652" t="s">
        <v>2390</v>
      </c>
      <c r="F2652" t="s">
        <v>2439</v>
      </c>
      <c r="K2652" t="s">
        <v>2572</v>
      </c>
      <c r="L2652" t="s">
        <v>2601</v>
      </c>
      <c r="M2652" t="s">
        <v>2631</v>
      </c>
    </row>
    <row r="2653" spans="1:13">
      <c r="A2653" s="1">
        <f>HYPERLINK("https://lsnyc.legalserver.org/matter/dynamic-profile/view/1844741","17-1844741")</f>
        <v>0</v>
      </c>
      <c r="B2653" t="s">
        <v>18</v>
      </c>
      <c r="C2653" t="s">
        <v>35</v>
      </c>
      <c r="D2653" t="s">
        <v>762</v>
      </c>
      <c r="E2653" t="s">
        <v>2390</v>
      </c>
      <c r="F2653" t="s">
        <v>2437</v>
      </c>
      <c r="I2653" t="s">
        <v>2446</v>
      </c>
      <c r="J2653" t="s">
        <v>2448</v>
      </c>
      <c r="K2653" t="s">
        <v>2572</v>
      </c>
      <c r="L2653" t="s">
        <v>2600</v>
      </c>
      <c r="M2653" t="s">
        <v>2619</v>
      </c>
    </row>
    <row r="2654" spans="1:13">
      <c r="A2654" s="1">
        <f>HYPERLINK("https://lsnyc.legalserver.org/matter/dynamic-profile/view/1844741","17-1844741")</f>
        <v>0</v>
      </c>
      <c r="B2654" t="s">
        <v>18</v>
      </c>
      <c r="C2654" t="s">
        <v>35</v>
      </c>
      <c r="D2654" t="s">
        <v>762</v>
      </c>
      <c r="E2654" t="s">
        <v>2390</v>
      </c>
      <c r="F2654" t="s">
        <v>2437</v>
      </c>
      <c r="I2654" t="s">
        <v>2446</v>
      </c>
      <c r="J2654" t="s">
        <v>2448</v>
      </c>
      <c r="K2654" t="s">
        <v>2572</v>
      </c>
      <c r="L2654" t="s">
        <v>2600</v>
      </c>
      <c r="M2654" t="s">
        <v>2619</v>
      </c>
    </row>
    <row r="2655" spans="1:13">
      <c r="A2655" s="1">
        <f>HYPERLINK("https://lsnyc.legalserver.org/matter/dynamic-profile/view/1848704","17-1848704")</f>
        <v>0</v>
      </c>
      <c r="B2655" t="s">
        <v>16</v>
      </c>
      <c r="C2655" t="s">
        <v>77</v>
      </c>
      <c r="D2655" t="s">
        <v>2072</v>
      </c>
      <c r="E2655" t="s">
        <v>2390</v>
      </c>
      <c r="F2655" t="s">
        <v>2439</v>
      </c>
      <c r="K2655" t="s">
        <v>2569</v>
      </c>
      <c r="L2655" t="s">
        <v>2601</v>
      </c>
      <c r="M2655" t="s">
        <v>2631</v>
      </c>
    </row>
    <row r="2656" spans="1:13">
      <c r="A2656" s="1">
        <f>HYPERLINK("https://lsnyc.legalserver.org/matter/dynamic-profile/view/1848725","17-1848725")</f>
        <v>0</v>
      </c>
      <c r="B2656" t="s">
        <v>16</v>
      </c>
      <c r="C2656" t="s">
        <v>23</v>
      </c>
      <c r="D2656" t="s">
        <v>2073</v>
      </c>
      <c r="E2656" t="s">
        <v>2390</v>
      </c>
      <c r="F2656" t="s">
        <v>2437</v>
      </c>
      <c r="I2656" t="s">
        <v>2446</v>
      </c>
      <c r="J2656" t="s">
        <v>2560</v>
      </c>
      <c r="K2656" t="s">
        <v>2572</v>
      </c>
      <c r="M2656" t="s">
        <v>2619</v>
      </c>
    </row>
    <row r="2657" spans="1:13">
      <c r="A2657" s="1">
        <f>HYPERLINK("https://lsnyc.legalserver.org/matter/dynamic-profile/view/1848726","17-1848726")</f>
        <v>0</v>
      </c>
      <c r="B2657" t="s">
        <v>16</v>
      </c>
      <c r="C2657" t="s">
        <v>23</v>
      </c>
      <c r="D2657" t="s">
        <v>2074</v>
      </c>
      <c r="E2657" t="s">
        <v>2390</v>
      </c>
      <c r="F2657" t="s">
        <v>2437</v>
      </c>
      <c r="I2657" t="s">
        <v>2446</v>
      </c>
      <c r="J2657" t="s">
        <v>2448</v>
      </c>
      <c r="K2657" t="s">
        <v>2569</v>
      </c>
      <c r="M2657" t="s">
        <v>2619</v>
      </c>
    </row>
    <row r="2658" spans="1:13">
      <c r="A2658" s="1">
        <f>HYPERLINK("https://lsnyc.legalserver.org/matter/dynamic-profile/view/1848599","17-1848599")</f>
        <v>0</v>
      </c>
      <c r="B2658" t="s">
        <v>16</v>
      </c>
      <c r="C2658" t="s">
        <v>77</v>
      </c>
      <c r="D2658" t="s">
        <v>2075</v>
      </c>
      <c r="E2658" t="s">
        <v>2390</v>
      </c>
      <c r="F2658" t="s">
        <v>2439</v>
      </c>
      <c r="K2658" t="s">
        <v>2569</v>
      </c>
      <c r="L2658" t="s">
        <v>2601</v>
      </c>
      <c r="M2658" t="s">
        <v>2631</v>
      </c>
    </row>
    <row r="2659" spans="1:13">
      <c r="A2659" s="1">
        <f>HYPERLINK("https://lsnyc.legalserver.org/matter/dynamic-profile/view/1848566","17-1848566")</f>
        <v>0</v>
      </c>
      <c r="B2659" t="s">
        <v>14</v>
      </c>
      <c r="C2659" t="s">
        <v>69</v>
      </c>
      <c r="D2659" t="s">
        <v>2076</v>
      </c>
      <c r="E2659" t="s">
        <v>2431</v>
      </c>
      <c r="F2659" t="s">
        <v>2439</v>
      </c>
      <c r="J2659" t="s">
        <v>2450</v>
      </c>
      <c r="K2659" t="s">
        <v>2569</v>
      </c>
      <c r="L2659" t="s">
        <v>2602</v>
      </c>
      <c r="M2659" t="s">
        <v>2631</v>
      </c>
    </row>
    <row r="2660" spans="1:13">
      <c r="A2660" s="1">
        <f>HYPERLINK("https://lsnyc.legalserver.org/matter/dynamic-profile/view/1848610","17-1848610")</f>
        <v>0</v>
      </c>
      <c r="B2660" t="s">
        <v>16</v>
      </c>
      <c r="C2660" t="s">
        <v>23</v>
      </c>
      <c r="D2660" t="s">
        <v>2077</v>
      </c>
      <c r="E2660" t="s">
        <v>2390</v>
      </c>
      <c r="F2660" t="s">
        <v>2439</v>
      </c>
      <c r="I2660" t="s">
        <v>2446</v>
      </c>
      <c r="J2660" t="s">
        <v>2532</v>
      </c>
      <c r="K2660" t="s">
        <v>2569</v>
      </c>
      <c r="L2660" t="s">
        <v>2601</v>
      </c>
      <c r="M2660" t="s">
        <v>2631</v>
      </c>
    </row>
    <row r="2661" spans="1:13">
      <c r="A2661" s="1">
        <f>HYPERLINK("https://lsnyc.legalserver.org/matter/dynamic-profile/view/1848619","17-1848619")</f>
        <v>0</v>
      </c>
      <c r="B2661" t="s">
        <v>15</v>
      </c>
      <c r="C2661" t="s">
        <v>37</v>
      </c>
      <c r="D2661" t="s">
        <v>2078</v>
      </c>
      <c r="E2661" t="s">
        <v>2376</v>
      </c>
      <c r="F2661" t="s">
        <v>2437</v>
      </c>
      <c r="J2661" t="s">
        <v>2450</v>
      </c>
      <c r="K2661" t="s">
        <v>2569</v>
      </c>
      <c r="L2661" t="s">
        <v>2600</v>
      </c>
      <c r="M2661" t="s">
        <v>2618</v>
      </c>
    </row>
    <row r="2662" spans="1:13">
      <c r="A2662" s="1">
        <f>HYPERLINK("https://lsnyc.legalserver.org/matter/dynamic-profile/view/1848437","17-1848437")</f>
        <v>0</v>
      </c>
      <c r="B2662" t="s">
        <v>16</v>
      </c>
      <c r="C2662" t="s">
        <v>77</v>
      </c>
      <c r="D2662" t="s">
        <v>2079</v>
      </c>
      <c r="E2662" t="s">
        <v>2390</v>
      </c>
      <c r="F2662" t="s">
        <v>2439</v>
      </c>
      <c r="K2662" t="s">
        <v>2572</v>
      </c>
      <c r="L2662" t="s">
        <v>2601</v>
      </c>
      <c r="M2662" t="s">
        <v>2631</v>
      </c>
    </row>
    <row r="2663" spans="1:13">
      <c r="A2663" s="1">
        <f>HYPERLINK("https://lsnyc.legalserver.org/matter/dynamic-profile/view/1848446","17-1848446")</f>
        <v>0</v>
      </c>
      <c r="B2663" t="s">
        <v>19</v>
      </c>
      <c r="C2663" t="s">
        <v>47</v>
      </c>
      <c r="D2663" t="s">
        <v>2080</v>
      </c>
      <c r="E2663" t="s">
        <v>2394</v>
      </c>
      <c r="F2663" t="s">
        <v>2437</v>
      </c>
      <c r="I2663" t="s">
        <v>2446</v>
      </c>
      <c r="J2663" t="s">
        <v>2525</v>
      </c>
      <c r="K2663" t="s">
        <v>2571</v>
      </c>
      <c r="L2663" t="s">
        <v>2600</v>
      </c>
      <c r="M2663" t="s">
        <v>2627</v>
      </c>
    </row>
    <row r="2664" spans="1:13">
      <c r="A2664" s="1">
        <f>HYPERLINK("https://lsnyc.legalserver.org/matter/dynamic-profile/view/1848390","17-1848390")</f>
        <v>0</v>
      </c>
      <c r="B2664" t="s">
        <v>14</v>
      </c>
      <c r="C2664" t="s">
        <v>69</v>
      </c>
      <c r="D2664" t="s">
        <v>2081</v>
      </c>
      <c r="E2664" t="s">
        <v>2374</v>
      </c>
      <c r="F2664" t="s">
        <v>2439</v>
      </c>
      <c r="J2664" t="s">
        <v>2450</v>
      </c>
      <c r="K2664" t="s">
        <v>2569</v>
      </c>
      <c r="L2664" t="s">
        <v>2602</v>
      </c>
      <c r="M2664" t="s">
        <v>2631</v>
      </c>
    </row>
    <row r="2665" spans="1:13">
      <c r="A2665" s="1">
        <f>HYPERLINK("https://lsnyc.legalserver.org/matter/dynamic-profile/view/1848291","17-1848291")</f>
        <v>0</v>
      </c>
      <c r="B2665" t="s">
        <v>16</v>
      </c>
      <c r="C2665" t="s">
        <v>77</v>
      </c>
      <c r="D2665" t="s">
        <v>1475</v>
      </c>
      <c r="E2665" t="s">
        <v>2390</v>
      </c>
      <c r="F2665" t="s">
        <v>2439</v>
      </c>
      <c r="K2665" t="s">
        <v>2569</v>
      </c>
      <c r="L2665" t="s">
        <v>2601</v>
      </c>
      <c r="M2665" t="s">
        <v>2631</v>
      </c>
    </row>
    <row r="2666" spans="1:13">
      <c r="A2666" s="1">
        <f>HYPERLINK("https://lsnyc.legalserver.org/matter/dynamic-profile/view/1848367","17-1848367")</f>
        <v>0</v>
      </c>
      <c r="B2666" t="s">
        <v>16</v>
      </c>
      <c r="C2666" t="s">
        <v>77</v>
      </c>
      <c r="D2666" t="s">
        <v>2082</v>
      </c>
      <c r="E2666" t="s">
        <v>2390</v>
      </c>
      <c r="F2666" t="s">
        <v>2439</v>
      </c>
      <c r="K2666" t="s">
        <v>2582</v>
      </c>
      <c r="L2666" t="s">
        <v>2601</v>
      </c>
      <c r="M2666" t="s">
        <v>2631</v>
      </c>
    </row>
    <row r="2667" spans="1:13">
      <c r="A2667" s="1">
        <f>HYPERLINK("https://lsnyc.legalserver.org/matter/dynamic-profile/view/1848376","17-1848376")</f>
        <v>0</v>
      </c>
      <c r="B2667" t="s">
        <v>15</v>
      </c>
      <c r="C2667" t="s">
        <v>49</v>
      </c>
      <c r="D2667" t="s">
        <v>2083</v>
      </c>
      <c r="E2667" t="s">
        <v>2390</v>
      </c>
      <c r="F2667" t="s">
        <v>2437</v>
      </c>
      <c r="I2667" t="s">
        <v>2446</v>
      </c>
      <c r="J2667" t="s">
        <v>2448</v>
      </c>
      <c r="K2667" t="s">
        <v>2569</v>
      </c>
      <c r="M2667" t="s">
        <v>2619</v>
      </c>
    </row>
    <row r="2668" spans="1:13">
      <c r="A2668" s="1">
        <f>HYPERLINK("https://lsnyc.legalserver.org/matter/dynamic-profile/view/1848142","17-1848142")</f>
        <v>0</v>
      </c>
      <c r="B2668" t="s">
        <v>16</v>
      </c>
      <c r="C2668" t="s">
        <v>23</v>
      </c>
      <c r="D2668" t="s">
        <v>1542</v>
      </c>
      <c r="E2668" t="s">
        <v>2390</v>
      </c>
      <c r="F2668" t="s">
        <v>2437</v>
      </c>
      <c r="I2668" t="s">
        <v>2446</v>
      </c>
      <c r="J2668" t="s">
        <v>2457</v>
      </c>
      <c r="K2668" t="s">
        <v>2569</v>
      </c>
      <c r="M2668" t="s">
        <v>2619</v>
      </c>
    </row>
    <row r="2669" spans="1:13">
      <c r="A2669" s="1">
        <f>HYPERLINK("https://lsnyc.legalserver.org/matter/dynamic-profile/view/1848150","17-1848150")</f>
        <v>0</v>
      </c>
      <c r="B2669" t="s">
        <v>15</v>
      </c>
      <c r="C2669" t="s">
        <v>49</v>
      </c>
      <c r="D2669" t="s">
        <v>2084</v>
      </c>
      <c r="E2669" t="s">
        <v>2390</v>
      </c>
      <c r="F2669" t="s">
        <v>2437</v>
      </c>
      <c r="I2669" t="s">
        <v>2446</v>
      </c>
      <c r="J2669" t="s">
        <v>2450</v>
      </c>
      <c r="K2669" t="s">
        <v>2569</v>
      </c>
      <c r="M2669" t="s">
        <v>2619</v>
      </c>
    </row>
    <row r="2670" spans="1:13">
      <c r="A2670" s="1">
        <f>HYPERLINK("https://lsnyc.legalserver.org/matter/dynamic-profile/view/1848182","17-1848182")</f>
        <v>0</v>
      </c>
      <c r="B2670" t="s">
        <v>16</v>
      </c>
      <c r="C2670" t="s">
        <v>23</v>
      </c>
      <c r="D2670" t="s">
        <v>1730</v>
      </c>
      <c r="E2670" t="s">
        <v>2390</v>
      </c>
      <c r="F2670" t="s">
        <v>2437</v>
      </c>
      <c r="I2670" t="s">
        <v>2446</v>
      </c>
      <c r="J2670" t="s">
        <v>2448</v>
      </c>
      <c r="K2670" t="s">
        <v>2572</v>
      </c>
      <c r="M2670" t="s">
        <v>2619</v>
      </c>
    </row>
    <row r="2671" spans="1:13">
      <c r="A2671" s="1">
        <f>HYPERLINK("https://lsnyc.legalserver.org/matter/dynamic-profile/view/1848025","17-1848025")</f>
        <v>0</v>
      </c>
      <c r="B2671" t="s">
        <v>16</v>
      </c>
      <c r="C2671" t="s">
        <v>23</v>
      </c>
      <c r="D2671" t="s">
        <v>2085</v>
      </c>
      <c r="E2671" t="s">
        <v>2390</v>
      </c>
      <c r="F2671" t="s">
        <v>2439</v>
      </c>
      <c r="I2671" t="s">
        <v>2446</v>
      </c>
      <c r="J2671" t="s">
        <v>2477</v>
      </c>
      <c r="K2671" t="s">
        <v>2569</v>
      </c>
      <c r="L2671" t="s">
        <v>2601</v>
      </c>
      <c r="M2671" t="s">
        <v>2631</v>
      </c>
    </row>
    <row r="2672" spans="1:13">
      <c r="A2672" s="1">
        <f>HYPERLINK("https://lsnyc.legalserver.org/matter/dynamic-profile/view/1847948","17-1847948")</f>
        <v>0</v>
      </c>
      <c r="B2672" t="s">
        <v>16</v>
      </c>
      <c r="C2672" t="s">
        <v>23</v>
      </c>
      <c r="D2672" t="s">
        <v>2086</v>
      </c>
      <c r="E2672" t="s">
        <v>2390</v>
      </c>
      <c r="F2672" t="s">
        <v>2437</v>
      </c>
      <c r="I2672" t="s">
        <v>2446</v>
      </c>
      <c r="J2672" t="s">
        <v>2447</v>
      </c>
      <c r="K2672" t="s">
        <v>2569</v>
      </c>
      <c r="L2672" t="s">
        <v>2604</v>
      </c>
      <c r="M2672" t="s">
        <v>2626</v>
      </c>
    </row>
    <row r="2673" spans="1:13">
      <c r="A2673" s="1">
        <f>HYPERLINK("https://lsnyc.legalserver.org/matter/dynamic-profile/view/1847965","17-1847965")</f>
        <v>0</v>
      </c>
      <c r="B2673" t="s">
        <v>16</v>
      </c>
      <c r="C2673" t="s">
        <v>46</v>
      </c>
      <c r="D2673" t="s">
        <v>494</v>
      </c>
      <c r="E2673" t="s">
        <v>2390</v>
      </c>
      <c r="F2673" t="s">
        <v>2437</v>
      </c>
      <c r="H2673" t="s">
        <v>2445</v>
      </c>
      <c r="J2673" t="s">
        <v>2447</v>
      </c>
      <c r="K2673" t="s">
        <v>2569</v>
      </c>
      <c r="M2673" t="s">
        <v>2619</v>
      </c>
    </row>
    <row r="2674" spans="1:13">
      <c r="A2674" s="1">
        <f>HYPERLINK("https://lsnyc.legalserver.org/matter/dynamic-profile/view/1848003","17-1848003")</f>
        <v>0</v>
      </c>
      <c r="B2674" t="s">
        <v>16</v>
      </c>
      <c r="C2674" t="s">
        <v>23</v>
      </c>
      <c r="D2674" t="s">
        <v>2087</v>
      </c>
      <c r="E2674" t="s">
        <v>2390</v>
      </c>
      <c r="F2674" t="s">
        <v>2437</v>
      </c>
      <c r="I2674" t="s">
        <v>2446</v>
      </c>
      <c r="J2674" t="s">
        <v>2561</v>
      </c>
      <c r="K2674" t="s">
        <v>2572</v>
      </c>
      <c r="L2674" t="s">
        <v>2600</v>
      </c>
      <c r="M2674" t="s">
        <v>2619</v>
      </c>
    </row>
    <row r="2675" spans="1:13">
      <c r="A2675" s="1">
        <f>HYPERLINK("https://lsnyc.legalserver.org/matter/dynamic-profile/view/1848026","17-1848026")</f>
        <v>0</v>
      </c>
      <c r="B2675" t="s">
        <v>17</v>
      </c>
      <c r="C2675" t="s">
        <v>42</v>
      </c>
      <c r="D2675" t="s">
        <v>1899</v>
      </c>
      <c r="E2675" t="s">
        <v>2375</v>
      </c>
      <c r="F2675" t="s">
        <v>2437</v>
      </c>
      <c r="I2675" t="s">
        <v>2446</v>
      </c>
      <c r="J2675" t="s">
        <v>2449</v>
      </c>
      <c r="K2675" t="s">
        <v>2569</v>
      </c>
      <c r="L2675" t="s">
        <v>2600</v>
      </c>
      <c r="M2675" t="s">
        <v>2617</v>
      </c>
    </row>
    <row r="2676" spans="1:13">
      <c r="A2676" s="1">
        <f>HYPERLINK("https://lsnyc.legalserver.org/matter/dynamic-profile/view/1848049","17-1848049")</f>
        <v>0</v>
      </c>
      <c r="B2676" t="s">
        <v>16</v>
      </c>
      <c r="C2676" t="s">
        <v>23</v>
      </c>
      <c r="D2676" t="s">
        <v>2088</v>
      </c>
      <c r="E2676" t="s">
        <v>2408</v>
      </c>
      <c r="F2676" t="s">
        <v>2437</v>
      </c>
      <c r="I2676" t="s">
        <v>2446</v>
      </c>
      <c r="J2676" t="s">
        <v>2448</v>
      </c>
      <c r="K2676" t="s">
        <v>2569</v>
      </c>
      <c r="M2676" t="s">
        <v>2619</v>
      </c>
    </row>
    <row r="2677" spans="1:13">
      <c r="A2677" s="1">
        <f>HYPERLINK("https://lsnyc.legalserver.org/matter/dynamic-profile/view/1847847","17-1847847")</f>
        <v>0</v>
      </c>
      <c r="B2677" t="s">
        <v>16</v>
      </c>
      <c r="C2677" t="s">
        <v>77</v>
      </c>
      <c r="D2677" t="s">
        <v>2089</v>
      </c>
      <c r="E2677" t="s">
        <v>2390</v>
      </c>
      <c r="F2677" t="s">
        <v>2439</v>
      </c>
      <c r="K2677" t="s">
        <v>2572</v>
      </c>
      <c r="L2677" t="s">
        <v>2601</v>
      </c>
      <c r="M2677" t="s">
        <v>2631</v>
      </c>
    </row>
    <row r="2678" spans="1:13">
      <c r="A2678" s="1">
        <f>HYPERLINK("https://lsnyc.legalserver.org/matter/dynamic-profile/view/1847839","17-1847839")</f>
        <v>0</v>
      </c>
      <c r="B2678" t="s">
        <v>14</v>
      </c>
      <c r="C2678" t="s">
        <v>69</v>
      </c>
      <c r="D2678" t="s">
        <v>2090</v>
      </c>
      <c r="E2678" t="s">
        <v>2431</v>
      </c>
      <c r="J2678" t="s">
        <v>2487</v>
      </c>
      <c r="K2678" t="s">
        <v>2582</v>
      </c>
      <c r="L2678" t="s">
        <v>2602</v>
      </c>
      <c r="M2678" t="s">
        <v>2631</v>
      </c>
    </row>
    <row r="2679" spans="1:13">
      <c r="A2679" s="1">
        <f>HYPERLINK("https://lsnyc.legalserver.org/matter/dynamic-profile/view/1847692","17-1847692")</f>
        <v>0</v>
      </c>
      <c r="B2679" t="s">
        <v>14</v>
      </c>
      <c r="C2679" t="s">
        <v>43</v>
      </c>
      <c r="D2679" t="s">
        <v>2091</v>
      </c>
      <c r="E2679" t="s">
        <v>2394</v>
      </c>
      <c r="F2679" t="s">
        <v>2437</v>
      </c>
      <c r="I2679" t="s">
        <v>2446</v>
      </c>
      <c r="J2679" t="s">
        <v>2450</v>
      </c>
      <c r="K2679" t="s">
        <v>2572</v>
      </c>
      <c r="L2679" t="s">
        <v>2604</v>
      </c>
      <c r="M2679" t="s">
        <v>2627</v>
      </c>
    </row>
    <row r="2680" spans="1:13">
      <c r="A2680" s="1">
        <f>HYPERLINK("https://lsnyc.legalserver.org/matter/dynamic-profile/view/1847448","17-1847448")</f>
        <v>0</v>
      </c>
      <c r="B2680" t="s">
        <v>16</v>
      </c>
      <c r="C2680" t="s">
        <v>77</v>
      </c>
      <c r="D2680" t="s">
        <v>2092</v>
      </c>
      <c r="E2680" t="s">
        <v>2390</v>
      </c>
      <c r="F2680" t="s">
        <v>2439</v>
      </c>
      <c r="K2680" t="s">
        <v>2569</v>
      </c>
      <c r="L2680" t="s">
        <v>2601</v>
      </c>
      <c r="M2680" t="s">
        <v>2631</v>
      </c>
    </row>
    <row r="2681" spans="1:13">
      <c r="A2681" s="1">
        <f>HYPERLINK("https://lsnyc.legalserver.org/matter/dynamic-profile/view/1847541","17-1847541")</f>
        <v>0</v>
      </c>
      <c r="B2681" t="s">
        <v>16</v>
      </c>
      <c r="C2681" t="s">
        <v>77</v>
      </c>
      <c r="D2681" t="s">
        <v>2093</v>
      </c>
      <c r="E2681" t="s">
        <v>2390</v>
      </c>
      <c r="F2681" t="s">
        <v>2439</v>
      </c>
      <c r="K2681" t="s">
        <v>2572</v>
      </c>
      <c r="L2681" t="s">
        <v>2601</v>
      </c>
      <c r="M2681" t="s">
        <v>2631</v>
      </c>
    </row>
    <row r="2682" spans="1:13">
      <c r="A2682" s="1">
        <f>HYPERLINK("https://lsnyc.legalserver.org/matter/dynamic-profile/view/1847472","17-1847472")</f>
        <v>0</v>
      </c>
      <c r="B2682" t="s">
        <v>15</v>
      </c>
      <c r="C2682" t="s">
        <v>31</v>
      </c>
      <c r="D2682" t="s">
        <v>2094</v>
      </c>
      <c r="E2682" t="s">
        <v>2390</v>
      </c>
      <c r="F2682" t="s">
        <v>2437</v>
      </c>
      <c r="I2682" t="s">
        <v>2446</v>
      </c>
      <c r="J2682" t="s">
        <v>2448</v>
      </c>
      <c r="K2682" t="s">
        <v>2569</v>
      </c>
      <c r="M2682" t="s">
        <v>2619</v>
      </c>
    </row>
    <row r="2683" spans="1:13">
      <c r="A2683" s="1">
        <f>HYPERLINK("https://lsnyc.legalserver.org/matter/dynamic-profile/view/1847503","17-1847503")</f>
        <v>0</v>
      </c>
      <c r="B2683" t="s">
        <v>15</v>
      </c>
      <c r="C2683" t="s">
        <v>32</v>
      </c>
      <c r="D2683" t="s">
        <v>2095</v>
      </c>
      <c r="E2683" t="s">
        <v>2390</v>
      </c>
      <c r="F2683" t="s">
        <v>2437</v>
      </c>
      <c r="I2683" t="s">
        <v>2446</v>
      </c>
      <c r="J2683" t="s">
        <v>2486</v>
      </c>
      <c r="K2683" t="s">
        <v>2572</v>
      </c>
      <c r="M2683" t="s">
        <v>2619</v>
      </c>
    </row>
    <row r="2684" spans="1:13">
      <c r="A2684" s="1">
        <f>HYPERLINK("https://lsnyc.legalserver.org/matter/dynamic-profile/view/1847549","17-1847549")</f>
        <v>0</v>
      </c>
      <c r="B2684" t="s">
        <v>15</v>
      </c>
      <c r="C2684" t="s">
        <v>32</v>
      </c>
      <c r="D2684" t="s">
        <v>2096</v>
      </c>
      <c r="E2684" t="s">
        <v>2383</v>
      </c>
      <c r="F2684" t="s">
        <v>2437</v>
      </c>
      <c r="J2684" t="s">
        <v>2449</v>
      </c>
      <c r="K2684" t="s">
        <v>2569</v>
      </c>
      <c r="L2684" t="s">
        <v>2600</v>
      </c>
      <c r="M2684" t="s">
        <v>2624</v>
      </c>
    </row>
    <row r="2685" spans="1:13">
      <c r="A2685" s="1">
        <f>HYPERLINK("https://lsnyc.legalserver.org/matter/dynamic-profile/view/1847286","17-1847286")</f>
        <v>0</v>
      </c>
      <c r="B2685" t="s">
        <v>16</v>
      </c>
      <c r="C2685" t="s">
        <v>77</v>
      </c>
      <c r="D2685" t="s">
        <v>2097</v>
      </c>
      <c r="E2685" t="s">
        <v>2390</v>
      </c>
      <c r="F2685" t="s">
        <v>2439</v>
      </c>
      <c r="K2685" t="s">
        <v>2572</v>
      </c>
      <c r="L2685" t="s">
        <v>2601</v>
      </c>
      <c r="M2685" t="s">
        <v>2631</v>
      </c>
    </row>
    <row r="2686" spans="1:13">
      <c r="A2686" s="1">
        <f>HYPERLINK("https://lsnyc.legalserver.org/matter/dynamic-profile/view/1847340","17-1847340")</f>
        <v>0</v>
      </c>
      <c r="B2686" t="s">
        <v>15</v>
      </c>
      <c r="C2686" t="s">
        <v>32</v>
      </c>
      <c r="D2686" t="s">
        <v>2098</v>
      </c>
      <c r="E2686" t="s">
        <v>2390</v>
      </c>
      <c r="F2686" t="s">
        <v>2437</v>
      </c>
      <c r="J2686" t="s">
        <v>2499</v>
      </c>
      <c r="K2686" t="s">
        <v>2572</v>
      </c>
      <c r="L2686" t="s">
        <v>2600</v>
      </c>
      <c r="M2686" t="s">
        <v>2619</v>
      </c>
    </row>
    <row r="2687" spans="1:13">
      <c r="A2687" s="1">
        <f>HYPERLINK("https://lsnyc.legalserver.org/matter/dynamic-profile/view/1847390","17-1847390")</f>
        <v>0</v>
      </c>
      <c r="B2687" t="s">
        <v>18</v>
      </c>
      <c r="C2687" t="s">
        <v>27</v>
      </c>
      <c r="D2687" t="s">
        <v>1401</v>
      </c>
      <c r="E2687" t="s">
        <v>2392</v>
      </c>
      <c r="F2687" t="s">
        <v>2437</v>
      </c>
      <c r="I2687" t="s">
        <v>2446</v>
      </c>
      <c r="J2687" t="s">
        <v>2545</v>
      </c>
      <c r="K2687" t="s">
        <v>2572</v>
      </c>
      <c r="L2687" t="s">
        <v>2603</v>
      </c>
      <c r="M2687" t="s">
        <v>2630</v>
      </c>
    </row>
    <row r="2688" spans="1:13">
      <c r="A2688" s="1">
        <f>HYPERLINK("https://lsnyc.legalserver.org/matter/dynamic-profile/view/1847396","17-1847396")</f>
        <v>0</v>
      </c>
      <c r="B2688" t="s">
        <v>15</v>
      </c>
      <c r="C2688" t="s">
        <v>49</v>
      </c>
      <c r="D2688" t="s">
        <v>2099</v>
      </c>
      <c r="E2688" t="s">
        <v>2390</v>
      </c>
      <c r="F2688" t="s">
        <v>2437</v>
      </c>
      <c r="H2688" t="s">
        <v>2445</v>
      </c>
      <c r="J2688" t="s">
        <v>2448</v>
      </c>
      <c r="K2688" t="s">
        <v>2569</v>
      </c>
      <c r="M2688" t="s">
        <v>2619</v>
      </c>
    </row>
    <row r="2689" spans="1:13">
      <c r="A2689" s="1">
        <f>HYPERLINK("https://lsnyc.legalserver.org/matter/dynamic-profile/view/1847198","17-1847198")</f>
        <v>0</v>
      </c>
      <c r="B2689" t="s">
        <v>14</v>
      </c>
      <c r="C2689" t="s">
        <v>69</v>
      </c>
      <c r="D2689" t="s">
        <v>2100</v>
      </c>
      <c r="E2689" t="s">
        <v>2374</v>
      </c>
      <c r="F2689" t="s">
        <v>2439</v>
      </c>
      <c r="J2689" t="s">
        <v>2450</v>
      </c>
      <c r="K2689" t="s">
        <v>2569</v>
      </c>
      <c r="L2689" t="s">
        <v>2602</v>
      </c>
      <c r="M2689" t="s">
        <v>2631</v>
      </c>
    </row>
    <row r="2690" spans="1:13">
      <c r="A2690" s="1">
        <f>HYPERLINK("https://lsnyc.legalserver.org/matter/dynamic-profile/view/1847064","17-1847064")</f>
        <v>0</v>
      </c>
      <c r="B2690" t="s">
        <v>16</v>
      </c>
      <c r="C2690" t="s">
        <v>77</v>
      </c>
      <c r="D2690" t="s">
        <v>2101</v>
      </c>
      <c r="E2690" t="s">
        <v>2390</v>
      </c>
      <c r="F2690" t="s">
        <v>2439</v>
      </c>
      <c r="K2690" t="s">
        <v>2569</v>
      </c>
      <c r="L2690" t="s">
        <v>2601</v>
      </c>
      <c r="M2690" t="s">
        <v>2631</v>
      </c>
    </row>
    <row r="2691" spans="1:13">
      <c r="A2691" s="1">
        <f>HYPERLINK("https://lsnyc.legalserver.org/matter/dynamic-profile/view/1847133","17-1847133")</f>
        <v>0</v>
      </c>
      <c r="B2691" t="s">
        <v>16</v>
      </c>
      <c r="C2691" t="s">
        <v>77</v>
      </c>
      <c r="D2691" t="s">
        <v>2102</v>
      </c>
      <c r="E2691" t="s">
        <v>2390</v>
      </c>
      <c r="F2691" t="s">
        <v>2439</v>
      </c>
      <c r="K2691" t="s">
        <v>2572</v>
      </c>
      <c r="L2691" t="s">
        <v>2601</v>
      </c>
      <c r="M2691" t="s">
        <v>2631</v>
      </c>
    </row>
    <row r="2692" spans="1:13">
      <c r="A2692" s="1">
        <f>HYPERLINK("https://lsnyc.legalserver.org/matter/dynamic-profile/view/1847145","17-1847145")</f>
        <v>0</v>
      </c>
      <c r="B2692" t="s">
        <v>14</v>
      </c>
      <c r="C2692" t="s">
        <v>43</v>
      </c>
      <c r="D2692" t="s">
        <v>2103</v>
      </c>
      <c r="E2692" t="s">
        <v>2408</v>
      </c>
      <c r="F2692" t="s">
        <v>2439</v>
      </c>
      <c r="J2692" t="s">
        <v>2460</v>
      </c>
      <c r="K2692" t="s">
        <v>2572</v>
      </c>
      <c r="L2692" t="s">
        <v>2602</v>
      </c>
      <c r="M2692" t="s">
        <v>2631</v>
      </c>
    </row>
    <row r="2693" spans="1:13">
      <c r="A2693" s="1">
        <f>HYPERLINK("https://lsnyc.legalserver.org/matter/dynamic-profile/view/1847146","17-1847146")</f>
        <v>0</v>
      </c>
      <c r="B2693" t="s">
        <v>14</v>
      </c>
      <c r="C2693" t="s">
        <v>43</v>
      </c>
      <c r="D2693" t="s">
        <v>2103</v>
      </c>
      <c r="E2693" t="s">
        <v>2408</v>
      </c>
      <c r="F2693" t="s">
        <v>2439</v>
      </c>
      <c r="J2693" t="s">
        <v>2460</v>
      </c>
      <c r="K2693" t="s">
        <v>2572</v>
      </c>
      <c r="L2693" t="s">
        <v>2602</v>
      </c>
      <c r="M2693" t="s">
        <v>2631</v>
      </c>
    </row>
    <row r="2694" spans="1:13">
      <c r="A2694" s="1">
        <f>HYPERLINK("https://lsnyc.legalserver.org/matter/dynamic-profile/view/1847063","17-1847063")</f>
        <v>0</v>
      </c>
      <c r="B2694" t="s">
        <v>16</v>
      </c>
      <c r="C2694" t="s">
        <v>77</v>
      </c>
      <c r="D2694" t="s">
        <v>2104</v>
      </c>
      <c r="E2694" t="s">
        <v>2390</v>
      </c>
      <c r="F2694" t="s">
        <v>2439</v>
      </c>
      <c r="K2694" t="s">
        <v>2569</v>
      </c>
      <c r="L2694" t="s">
        <v>2601</v>
      </c>
      <c r="M2694" t="s">
        <v>2631</v>
      </c>
    </row>
    <row r="2695" spans="1:13">
      <c r="A2695" s="1">
        <f>HYPERLINK("https://lsnyc.legalserver.org/matter/dynamic-profile/view/1846908","17-1846908")</f>
        <v>0</v>
      </c>
      <c r="B2695" t="s">
        <v>16</v>
      </c>
      <c r="C2695" t="s">
        <v>77</v>
      </c>
      <c r="D2695" t="s">
        <v>2105</v>
      </c>
      <c r="E2695" t="s">
        <v>2390</v>
      </c>
      <c r="F2695" t="s">
        <v>2439</v>
      </c>
      <c r="K2695" t="s">
        <v>2572</v>
      </c>
      <c r="L2695" t="s">
        <v>2601</v>
      </c>
      <c r="M2695" t="s">
        <v>2631</v>
      </c>
    </row>
    <row r="2696" spans="1:13">
      <c r="A2696" s="1">
        <f>HYPERLINK("https://lsnyc.legalserver.org/matter/dynamic-profile/view/1846961","17-1846961")</f>
        <v>0</v>
      </c>
      <c r="B2696" t="s">
        <v>16</v>
      </c>
      <c r="C2696" t="s">
        <v>77</v>
      </c>
      <c r="D2696" t="s">
        <v>2106</v>
      </c>
      <c r="E2696" t="s">
        <v>2390</v>
      </c>
      <c r="F2696" t="s">
        <v>2439</v>
      </c>
      <c r="K2696" t="s">
        <v>2572</v>
      </c>
      <c r="L2696" t="s">
        <v>2601</v>
      </c>
      <c r="M2696" t="s">
        <v>2631</v>
      </c>
    </row>
    <row r="2697" spans="1:13">
      <c r="A2697" s="1">
        <f>HYPERLINK("https://lsnyc.legalserver.org/matter/dynamic-profile/view/1846950","17-1846950")</f>
        <v>0</v>
      </c>
      <c r="B2697" t="s">
        <v>15</v>
      </c>
      <c r="C2697" t="s">
        <v>31</v>
      </c>
      <c r="D2697" t="s">
        <v>2107</v>
      </c>
      <c r="E2697" t="s">
        <v>2390</v>
      </c>
      <c r="F2697" t="s">
        <v>2437</v>
      </c>
      <c r="J2697" t="s">
        <v>2462</v>
      </c>
      <c r="K2697" t="s">
        <v>2572</v>
      </c>
      <c r="M2697" t="s">
        <v>2619</v>
      </c>
    </row>
    <row r="2698" spans="1:13">
      <c r="A2698" s="1">
        <f>HYPERLINK("https://lsnyc.legalserver.org/matter/dynamic-profile/view/1846859","17-1846859")</f>
        <v>0</v>
      </c>
      <c r="B2698" t="s">
        <v>16</v>
      </c>
      <c r="C2698" t="s">
        <v>77</v>
      </c>
      <c r="D2698" t="s">
        <v>2108</v>
      </c>
      <c r="E2698" t="s">
        <v>2390</v>
      </c>
      <c r="F2698" t="s">
        <v>2439</v>
      </c>
      <c r="K2698" t="s">
        <v>2572</v>
      </c>
      <c r="L2698" t="s">
        <v>2601</v>
      </c>
      <c r="M2698" t="s">
        <v>2631</v>
      </c>
    </row>
    <row r="2699" spans="1:13">
      <c r="A2699" s="1">
        <f>HYPERLINK("https://lsnyc.legalserver.org/matter/dynamic-profile/view/1846861","17-1846861")</f>
        <v>0</v>
      </c>
      <c r="B2699" t="s">
        <v>14</v>
      </c>
      <c r="C2699" t="s">
        <v>69</v>
      </c>
      <c r="D2699" t="s">
        <v>2076</v>
      </c>
      <c r="F2699" t="s">
        <v>2439</v>
      </c>
      <c r="J2699" t="s">
        <v>2450</v>
      </c>
      <c r="K2699" t="s">
        <v>2569</v>
      </c>
      <c r="L2699" t="s">
        <v>2602</v>
      </c>
      <c r="M2699" t="s">
        <v>2631</v>
      </c>
    </row>
    <row r="2700" spans="1:13">
      <c r="A2700" s="1">
        <f>HYPERLINK("https://lsnyc.legalserver.org/matter/dynamic-profile/view/1846874","17-1846874")</f>
        <v>0</v>
      </c>
      <c r="B2700" t="s">
        <v>16</v>
      </c>
      <c r="C2700" t="s">
        <v>77</v>
      </c>
      <c r="D2700" t="s">
        <v>2109</v>
      </c>
      <c r="E2700" t="s">
        <v>2390</v>
      </c>
      <c r="F2700" t="s">
        <v>2439</v>
      </c>
      <c r="K2700" t="s">
        <v>2572</v>
      </c>
      <c r="L2700" t="s">
        <v>2601</v>
      </c>
      <c r="M2700" t="s">
        <v>2631</v>
      </c>
    </row>
    <row r="2701" spans="1:13">
      <c r="A2701" s="1">
        <f>HYPERLINK("https://lsnyc.legalserver.org/matter/dynamic-profile/view/1846881","17-1846881")</f>
        <v>0</v>
      </c>
      <c r="B2701" t="s">
        <v>16</v>
      </c>
      <c r="C2701" t="s">
        <v>77</v>
      </c>
      <c r="D2701" t="s">
        <v>2110</v>
      </c>
      <c r="E2701" t="s">
        <v>2390</v>
      </c>
      <c r="F2701" t="s">
        <v>2439</v>
      </c>
      <c r="K2701" t="s">
        <v>2569</v>
      </c>
      <c r="L2701" t="s">
        <v>2601</v>
      </c>
      <c r="M2701" t="s">
        <v>2631</v>
      </c>
    </row>
    <row r="2702" spans="1:13">
      <c r="A2702" s="1">
        <f>HYPERLINK("https://lsnyc.legalserver.org/matter/dynamic-profile/view/1846780","17-1846780")</f>
        <v>0</v>
      </c>
      <c r="B2702" t="s">
        <v>15</v>
      </c>
      <c r="C2702" t="s">
        <v>31</v>
      </c>
      <c r="D2702" t="s">
        <v>2111</v>
      </c>
      <c r="E2702" t="s">
        <v>2390</v>
      </c>
      <c r="F2702" t="s">
        <v>2437</v>
      </c>
      <c r="I2702" t="s">
        <v>2446</v>
      </c>
      <c r="J2702" t="s">
        <v>2499</v>
      </c>
      <c r="K2702" t="s">
        <v>2572</v>
      </c>
      <c r="L2702" t="s">
        <v>2604</v>
      </c>
      <c r="M2702" t="s">
        <v>2619</v>
      </c>
    </row>
    <row r="2703" spans="1:13">
      <c r="A2703" s="1">
        <f>HYPERLINK("https://lsnyc.legalserver.org/matter/dynamic-profile/view/1846781","17-1846781")</f>
        <v>0</v>
      </c>
      <c r="B2703" t="s">
        <v>15</v>
      </c>
      <c r="C2703" t="s">
        <v>31</v>
      </c>
      <c r="D2703" t="s">
        <v>2112</v>
      </c>
      <c r="E2703" t="s">
        <v>2390</v>
      </c>
      <c r="F2703" t="s">
        <v>2437</v>
      </c>
      <c r="I2703" t="s">
        <v>2446</v>
      </c>
      <c r="J2703" t="s">
        <v>2499</v>
      </c>
      <c r="K2703" t="s">
        <v>2572</v>
      </c>
      <c r="L2703" t="s">
        <v>2604</v>
      </c>
      <c r="M2703" t="s">
        <v>2619</v>
      </c>
    </row>
    <row r="2704" spans="1:13">
      <c r="A2704" s="1">
        <f>HYPERLINK("https://lsnyc.legalserver.org/matter/dynamic-profile/view/1846830","17-1846830")</f>
        <v>0</v>
      </c>
      <c r="B2704" t="s">
        <v>18</v>
      </c>
      <c r="C2704" t="s">
        <v>35</v>
      </c>
      <c r="D2704" t="s">
        <v>2113</v>
      </c>
      <c r="E2704" t="s">
        <v>2390</v>
      </c>
      <c r="F2704" t="s">
        <v>2437</v>
      </c>
      <c r="I2704" t="s">
        <v>2446</v>
      </c>
      <c r="J2704" t="s">
        <v>2485</v>
      </c>
      <c r="K2704" t="s">
        <v>2572</v>
      </c>
      <c r="M2704" t="s">
        <v>2619</v>
      </c>
    </row>
    <row r="2705" spans="1:13">
      <c r="A2705" s="1">
        <f>HYPERLINK("https://lsnyc.legalserver.org/matter/dynamic-profile/view/1846683","17-1846683")</f>
        <v>0</v>
      </c>
      <c r="B2705" t="s">
        <v>16</v>
      </c>
      <c r="C2705" t="s">
        <v>77</v>
      </c>
      <c r="D2705" t="s">
        <v>2114</v>
      </c>
      <c r="E2705" t="s">
        <v>2390</v>
      </c>
      <c r="F2705" t="s">
        <v>2439</v>
      </c>
      <c r="K2705" t="s">
        <v>2572</v>
      </c>
      <c r="L2705" t="s">
        <v>2601</v>
      </c>
      <c r="M2705" t="s">
        <v>2631</v>
      </c>
    </row>
    <row r="2706" spans="1:13">
      <c r="A2706" s="1">
        <f>HYPERLINK("https://lsnyc.legalserver.org/matter/dynamic-profile/view/1846695","17-1846695")</f>
        <v>0</v>
      </c>
      <c r="B2706" t="s">
        <v>16</v>
      </c>
      <c r="C2706" t="s">
        <v>77</v>
      </c>
      <c r="D2706" t="s">
        <v>2115</v>
      </c>
      <c r="E2706" t="s">
        <v>2390</v>
      </c>
      <c r="F2706" t="s">
        <v>2439</v>
      </c>
      <c r="K2706" t="s">
        <v>2569</v>
      </c>
      <c r="L2706" t="s">
        <v>2601</v>
      </c>
      <c r="M2706" t="s">
        <v>2631</v>
      </c>
    </row>
    <row r="2707" spans="1:13">
      <c r="A2707" s="1">
        <f>HYPERLINK("https://lsnyc.legalserver.org/matter/dynamic-profile/view/1846644","17-1846644")</f>
        <v>0</v>
      </c>
      <c r="B2707" t="s">
        <v>14</v>
      </c>
      <c r="C2707" t="s">
        <v>69</v>
      </c>
      <c r="D2707" t="s">
        <v>2116</v>
      </c>
      <c r="F2707" t="s">
        <v>2439</v>
      </c>
      <c r="J2707" t="s">
        <v>2457</v>
      </c>
      <c r="K2707" t="s">
        <v>2569</v>
      </c>
      <c r="L2707" t="s">
        <v>2602</v>
      </c>
      <c r="M2707" t="s">
        <v>2631</v>
      </c>
    </row>
    <row r="2708" spans="1:13">
      <c r="A2708" s="1">
        <f>HYPERLINK("https://lsnyc.legalserver.org/matter/dynamic-profile/view/1846584","17-1846584")</f>
        <v>0</v>
      </c>
      <c r="B2708" t="s">
        <v>16</v>
      </c>
      <c r="C2708" t="s">
        <v>77</v>
      </c>
      <c r="D2708" t="s">
        <v>2117</v>
      </c>
      <c r="E2708" t="s">
        <v>2390</v>
      </c>
      <c r="F2708" t="s">
        <v>2439</v>
      </c>
      <c r="K2708" t="s">
        <v>2588</v>
      </c>
      <c r="L2708" t="s">
        <v>2601</v>
      </c>
      <c r="M2708" t="s">
        <v>2631</v>
      </c>
    </row>
    <row r="2709" spans="1:13">
      <c r="A2709" s="1">
        <f>HYPERLINK("https://lsnyc.legalserver.org/matter/dynamic-profile/view/1846666","17-1846666")</f>
        <v>0</v>
      </c>
      <c r="B2709" t="s">
        <v>15</v>
      </c>
      <c r="C2709" t="s">
        <v>37</v>
      </c>
      <c r="D2709" t="s">
        <v>2118</v>
      </c>
      <c r="E2709" t="s">
        <v>2390</v>
      </c>
      <c r="F2709" t="s">
        <v>2439</v>
      </c>
      <c r="J2709" t="s">
        <v>2452</v>
      </c>
      <c r="K2709" t="s">
        <v>2572</v>
      </c>
      <c r="L2709" t="s">
        <v>2602</v>
      </c>
      <c r="M2709" t="s">
        <v>2631</v>
      </c>
    </row>
    <row r="2710" spans="1:13">
      <c r="A2710" s="1">
        <f>HYPERLINK("https://lsnyc.legalserver.org/matter/dynamic-profile/view/1846559","17-1846559")</f>
        <v>0</v>
      </c>
      <c r="B2710" t="s">
        <v>16</v>
      </c>
      <c r="C2710" t="s">
        <v>23</v>
      </c>
      <c r="D2710" t="s">
        <v>1656</v>
      </c>
      <c r="E2710" t="s">
        <v>2390</v>
      </c>
      <c r="F2710" t="s">
        <v>2437</v>
      </c>
      <c r="I2710" t="s">
        <v>2446</v>
      </c>
      <c r="J2710" t="s">
        <v>2447</v>
      </c>
      <c r="K2710" t="s">
        <v>2569</v>
      </c>
      <c r="M2710" t="s">
        <v>2619</v>
      </c>
    </row>
    <row r="2711" spans="1:13">
      <c r="A2711" s="1">
        <f>HYPERLINK("https://lsnyc.legalserver.org/matter/dynamic-profile/view/1846457","17-1846457")</f>
        <v>0</v>
      </c>
      <c r="B2711" t="s">
        <v>16</v>
      </c>
      <c r="C2711" t="s">
        <v>23</v>
      </c>
      <c r="D2711" t="s">
        <v>2119</v>
      </c>
      <c r="E2711" t="s">
        <v>2390</v>
      </c>
      <c r="F2711" t="s">
        <v>2439</v>
      </c>
      <c r="K2711" t="s">
        <v>2569</v>
      </c>
      <c r="L2711" t="s">
        <v>2601</v>
      </c>
      <c r="M2711" t="s">
        <v>2631</v>
      </c>
    </row>
    <row r="2712" spans="1:13">
      <c r="A2712" s="1">
        <f>HYPERLINK("https://lsnyc.legalserver.org/matter/dynamic-profile/view/1846422","17-1846422")</f>
        <v>0</v>
      </c>
      <c r="B2712" t="s">
        <v>14</v>
      </c>
      <c r="C2712" t="s">
        <v>20</v>
      </c>
      <c r="D2712" t="s">
        <v>2120</v>
      </c>
      <c r="E2712" t="s">
        <v>2385</v>
      </c>
      <c r="F2712" t="s">
        <v>2438</v>
      </c>
      <c r="J2712" t="s">
        <v>2450</v>
      </c>
      <c r="K2712" t="s">
        <v>2569</v>
      </c>
      <c r="L2712" t="s">
        <v>2600</v>
      </c>
      <c r="M2712" t="s">
        <v>2616</v>
      </c>
    </row>
    <row r="2713" spans="1:13">
      <c r="A2713" s="1">
        <f>HYPERLINK("https://lsnyc.legalserver.org/matter/dynamic-profile/view/1846496","17-1846496")</f>
        <v>0</v>
      </c>
      <c r="B2713" t="s">
        <v>16</v>
      </c>
      <c r="C2713" t="s">
        <v>23</v>
      </c>
      <c r="D2713" t="s">
        <v>568</v>
      </c>
      <c r="E2713" t="s">
        <v>2387</v>
      </c>
      <c r="F2713" t="s">
        <v>2437</v>
      </c>
      <c r="I2713" t="s">
        <v>2446</v>
      </c>
      <c r="J2713" t="s">
        <v>2457</v>
      </c>
      <c r="K2713" t="s">
        <v>2569</v>
      </c>
      <c r="M2713" t="s">
        <v>2629</v>
      </c>
    </row>
    <row r="2714" spans="1:13">
      <c r="A2714" s="1">
        <f>HYPERLINK("https://lsnyc.legalserver.org/matter/dynamic-profile/view/1846372","17-1846372")</f>
        <v>0</v>
      </c>
      <c r="B2714" t="s">
        <v>16</v>
      </c>
      <c r="C2714" t="s">
        <v>77</v>
      </c>
      <c r="D2714" t="s">
        <v>2121</v>
      </c>
      <c r="E2714" t="s">
        <v>2390</v>
      </c>
      <c r="F2714" t="s">
        <v>2439</v>
      </c>
      <c r="K2714" t="s">
        <v>2569</v>
      </c>
      <c r="L2714" t="s">
        <v>2601</v>
      </c>
      <c r="M2714" t="s">
        <v>2631</v>
      </c>
    </row>
    <row r="2715" spans="1:13">
      <c r="A2715" s="1">
        <f>HYPERLINK("https://lsnyc.legalserver.org/matter/dynamic-profile/view/1846368","17-1846368")</f>
        <v>0</v>
      </c>
      <c r="B2715" t="s">
        <v>14</v>
      </c>
      <c r="C2715" t="s">
        <v>44</v>
      </c>
      <c r="D2715" t="s">
        <v>2122</v>
      </c>
      <c r="E2715" t="s">
        <v>2381</v>
      </c>
      <c r="F2715" t="s">
        <v>2442</v>
      </c>
      <c r="J2715" t="s">
        <v>2448</v>
      </c>
      <c r="K2715" t="s">
        <v>2569</v>
      </c>
      <c r="L2715" t="s">
        <v>2600</v>
      </c>
      <c r="M2715" t="s">
        <v>2622</v>
      </c>
    </row>
    <row r="2716" spans="1:13">
      <c r="A2716" s="1">
        <f>HYPERLINK("https://lsnyc.legalserver.org/matter/dynamic-profile/view/1846389","17-1846389")</f>
        <v>0</v>
      </c>
      <c r="B2716" t="s">
        <v>16</v>
      </c>
      <c r="C2716" t="s">
        <v>23</v>
      </c>
      <c r="D2716" t="s">
        <v>2123</v>
      </c>
      <c r="E2716" t="s">
        <v>2390</v>
      </c>
      <c r="F2716" t="s">
        <v>2439</v>
      </c>
      <c r="I2716" t="s">
        <v>2446</v>
      </c>
      <c r="J2716" t="s">
        <v>2448</v>
      </c>
      <c r="K2716" t="s">
        <v>2569</v>
      </c>
      <c r="L2716" t="s">
        <v>2601</v>
      </c>
      <c r="M2716" t="s">
        <v>2631</v>
      </c>
    </row>
    <row r="2717" spans="1:13">
      <c r="A2717" s="1">
        <f>HYPERLINK("https://lsnyc.legalserver.org/matter/dynamic-profile/view/1846371","17-1846371")</f>
        <v>0</v>
      </c>
      <c r="B2717" t="s">
        <v>16</v>
      </c>
      <c r="C2717" t="s">
        <v>46</v>
      </c>
      <c r="D2717" t="s">
        <v>597</v>
      </c>
      <c r="E2717" t="s">
        <v>2390</v>
      </c>
      <c r="F2717" t="s">
        <v>2437</v>
      </c>
      <c r="I2717" t="s">
        <v>2446</v>
      </c>
      <c r="J2717" t="s">
        <v>2450</v>
      </c>
      <c r="K2717" t="s">
        <v>2569</v>
      </c>
      <c r="M2717" t="s">
        <v>2619</v>
      </c>
    </row>
    <row r="2718" spans="1:13">
      <c r="A2718" s="1">
        <f>HYPERLINK("https://lsnyc.legalserver.org/matter/dynamic-profile/view/1846376","17-1846376")</f>
        <v>0</v>
      </c>
      <c r="B2718" t="s">
        <v>16</v>
      </c>
      <c r="C2718" t="s">
        <v>23</v>
      </c>
      <c r="D2718" t="s">
        <v>799</v>
      </c>
      <c r="E2718" t="s">
        <v>2387</v>
      </c>
      <c r="F2718" t="s">
        <v>2437</v>
      </c>
      <c r="I2718" t="s">
        <v>2446</v>
      </c>
      <c r="J2718" t="s">
        <v>2457</v>
      </c>
      <c r="K2718" t="s">
        <v>2569</v>
      </c>
      <c r="M2718" t="s">
        <v>2629</v>
      </c>
    </row>
    <row r="2719" spans="1:13">
      <c r="A2719" s="1">
        <f>HYPERLINK("https://lsnyc.legalserver.org/matter/dynamic-profile/view/1846171","17-1846171")</f>
        <v>0</v>
      </c>
      <c r="B2719" t="s">
        <v>18</v>
      </c>
      <c r="C2719" t="s">
        <v>77</v>
      </c>
      <c r="D2719" t="s">
        <v>2124</v>
      </c>
      <c r="E2719" t="s">
        <v>2390</v>
      </c>
      <c r="F2719" t="s">
        <v>2439</v>
      </c>
      <c r="K2719" t="s">
        <v>2569</v>
      </c>
      <c r="L2719" t="s">
        <v>2601</v>
      </c>
      <c r="M2719" t="s">
        <v>2631</v>
      </c>
    </row>
    <row r="2720" spans="1:13">
      <c r="A2720" s="1">
        <f>HYPERLINK("https://lsnyc.legalserver.org/matter/dynamic-profile/view/1846161","17-1846161")</f>
        <v>0</v>
      </c>
      <c r="B2720" t="s">
        <v>16</v>
      </c>
      <c r="C2720" t="s">
        <v>77</v>
      </c>
      <c r="D2720" t="s">
        <v>2125</v>
      </c>
      <c r="E2720" t="s">
        <v>2390</v>
      </c>
      <c r="F2720" t="s">
        <v>2439</v>
      </c>
      <c r="K2720" t="s">
        <v>2572</v>
      </c>
      <c r="L2720" t="s">
        <v>2601</v>
      </c>
      <c r="M2720" t="s">
        <v>2631</v>
      </c>
    </row>
    <row r="2721" spans="1:14">
      <c r="A2721" s="1">
        <f>HYPERLINK("https://lsnyc.legalserver.org/matter/dynamic-profile/view/1846142","17-1846142")</f>
        <v>0</v>
      </c>
      <c r="B2721" t="s">
        <v>14</v>
      </c>
      <c r="C2721" t="s">
        <v>69</v>
      </c>
      <c r="D2721" t="s">
        <v>2126</v>
      </c>
      <c r="F2721" t="s">
        <v>2439</v>
      </c>
      <c r="J2721" t="s">
        <v>2454</v>
      </c>
      <c r="K2721" t="s">
        <v>2572</v>
      </c>
      <c r="L2721" t="s">
        <v>2602</v>
      </c>
      <c r="M2721" t="s">
        <v>2631</v>
      </c>
    </row>
    <row r="2722" spans="1:14">
      <c r="A2722" s="1">
        <f>HYPERLINK("https://lsnyc.legalserver.org/matter/dynamic-profile/view/1846224","17-1846224")</f>
        <v>0</v>
      </c>
      <c r="B2722" t="s">
        <v>16</v>
      </c>
      <c r="C2722" t="s">
        <v>77</v>
      </c>
      <c r="D2722" t="s">
        <v>2127</v>
      </c>
      <c r="E2722" t="s">
        <v>2390</v>
      </c>
      <c r="F2722" t="s">
        <v>2439</v>
      </c>
      <c r="K2722" t="s">
        <v>2569</v>
      </c>
      <c r="L2722" t="s">
        <v>2601</v>
      </c>
      <c r="M2722" t="s">
        <v>2631</v>
      </c>
    </row>
    <row r="2723" spans="1:14">
      <c r="A2723" s="1">
        <f>HYPERLINK("https://lsnyc.legalserver.org/matter/dynamic-profile/view/1846150","17-1846150")</f>
        <v>0</v>
      </c>
      <c r="B2723" t="s">
        <v>14</v>
      </c>
      <c r="C2723" t="s">
        <v>43</v>
      </c>
      <c r="D2723" t="s">
        <v>2128</v>
      </c>
      <c r="E2723" t="s">
        <v>2433</v>
      </c>
      <c r="F2723" t="s">
        <v>2437</v>
      </c>
      <c r="J2723" t="s">
        <v>2545</v>
      </c>
      <c r="K2723" t="s">
        <v>2572</v>
      </c>
      <c r="L2723" t="s">
        <v>2603</v>
      </c>
      <c r="M2723" t="s">
        <v>2647</v>
      </c>
    </row>
    <row r="2724" spans="1:14">
      <c r="A2724" s="1">
        <f>HYPERLINK("https://lsnyc.legalserver.org/matter/dynamic-profile/view/1846278","17-1846278")</f>
        <v>0</v>
      </c>
      <c r="B2724" t="s">
        <v>19</v>
      </c>
      <c r="C2724" t="s">
        <v>50</v>
      </c>
      <c r="D2724" t="s">
        <v>2129</v>
      </c>
      <c r="E2724" t="s">
        <v>2375</v>
      </c>
      <c r="F2724" t="s">
        <v>2437</v>
      </c>
      <c r="J2724" t="s">
        <v>2471</v>
      </c>
      <c r="K2724" t="s">
        <v>2571</v>
      </c>
      <c r="L2724" t="s">
        <v>2600</v>
      </c>
      <c r="M2724" t="s">
        <v>2617</v>
      </c>
    </row>
    <row r="2725" spans="1:14">
      <c r="A2725" s="1">
        <f>HYPERLINK("https://lsnyc.legalserver.org/matter/dynamic-profile/view/1845051","17-1845051")</f>
        <v>0</v>
      </c>
      <c r="B2725" t="s">
        <v>17</v>
      </c>
      <c r="C2725" t="s">
        <v>42</v>
      </c>
      <c r="D2725" t="s">
        <v>2130</v>
      </c>
      <c r="E2725" t="s">
        <v>2385</v>
      </c>
      <c r="F2725" t="s">
        <v>2438</v>
      </c>
      <c r="I2725" t="s">
        <v>2446</v>
      </c>
      <c r="J2725" t="s">
        <v>2450</v>
      </c>
      <c r="K2725" t="s">
        <v>2569</v>
      </c>
      <c r="L2725" t="s">
        <v>2600</v>
      </c>
      <c r="M2725" t="s">
        <v>2616</v>
      </c>
    </row>
    <row r="2726" spans="1:14">
      <c r="A2726" s="1">
        <f>HYPERLINK("https://lsnyc.legalserver.org/matter/dynamic-profile/view/1846186","17-1846186")</f>
        <v>0</v>
      </c>
      <c r="B2726" t="s">
        <v>15</v>
      </c>
      <c r="C2726" t="s">
        <v>32</v>
      </c>
      <c r="D2726" t="s">
        <v>2131</v>
      </c>
      <c r="E2726" t="s">
        <v>2393</v>
      </c>
      <c r="F2726" t="s">
        <v>2437</v>
      </c>
      <c r="I2726" t="s">
        <v>2446</v>
      </c>
      <c r="J2726" t="s">
        <v>2452</v>
      </c>
      <c r="K2726" t="s">
        <v>2572</v>
      </c>
      <c r="M2726" t="s">
        <v>2637</v>
      </c>
    </row>
    <row r="2727" spans="1:14">
      <c r="A2727" s="1">
        <f>HYPERLINK("https://lsnyc.legalserver.org/matter/dynamic-profile/view/1846109","17-1846109")</f>
        <v>0</v>
      </c>
      <c r="B2727" t="s">
        <v>17</v>
      </c>
      <c r="C2727" t="s">
        <v>24</v>
      </c>
      <c r="D2727" t="s">
        <v>2132</v>
      </c>
      <c r="E2727" t="s">
        <v>2375</v>
      </c>
      <c r="F2727" t="s">
        <v>2439</v>
      </c>
      <c r="J2727" t="s">
        <v>2457</v>
      </c>
      <c r="K2727" t="s">
        <v>2569</v>
      </c>
      <c r="L2727" t="s">
        <v>2602</v>
      </c>
      <c r="M2727" t="s">
        <v>2631</v>
      </c>
    </row>
    <row r="2728" spans="1:14">
      <c r="A2728" s="1">
        <f>HYPERLINK("https://lsnyc.legalserver.org/matter/dynamic-profile/view/1846099","17-1846099")</f>
        <v>0</v>
      </c>
      <c r="B2728" t="s">
        <v>14</v>
      </c>
      <c r="C2728" t="s">
        <v>69</v>
      </c>
      <c r="D2728" t="s">
        <v>2133</v>
      </c>
      <c r="E2728" t="s">
        <v>2431</v>
      </c>
      <c r="F2728" t="s">
        <v>2439</v>
      </c>
      <c r="J2728" t="s">
        <v>2484</v>
      </c>
      <c r="K2728" t="s">
        <v>2582</v>
      </c>
      <c r="L2728" t="s">
        <v>2602</v>
      </c>
      <c r="M2728" t="s">
        <v>2631</v>
      </c>
    </row>
    <row r="2729" spans="1:14">
      <c r="A2729" s="1">
        <f>HYPERLINK("https://lsnyc.legalserver.org/matter/dynamic-profile/view/1846095","17-1846095")</f>
        <v>0</v>
      </c>
      <c r="B2729" t="s">
        <v>14</v>
      </c>
      <c r="C2729" t="s">
        <v>20</v>
      </c>
      <c r="D2729" t="s">
        <v>2134</v>
      </c>
      <c r="E2729" t="s">
        <v>2394</v>
      </c>
      <c r="F2729" t="s">
        <v>2437</v>
      </c>
      <c r="J2729" t="s">
        <v>2450</v>
      </c>
      <c r="K2729" t="s">
        <v>2572</v>
      </c>
      <c r="L2729" t="s">
        <v>2605</v>
      </c>
      <c r="M2729" t="s">
        <v>2627</v>
      </c>
      <c r="N2729" t="s">
        <v>2648</v>
      </c>
    </row>
    <row r="2730" spans="1:14">
      <c r="A2730" s="1">
        <f>HYPERLINK("https://lsnyc.legalserver.org/matter/dynamic-profile/view/1846134","17-1846134")</f>
        <v>0</v>
      </c>
      <c r="B2730" t="s">
        <v>19</v>
      </c>
      <c r="C2730" t="s">
        <v>54</v>
      </c>
      <c r="D2730" t="s">
        <v>1575</v>
      </c>
      <c r="E2730" t="s">
        <v>2374</v>
      </c>
      <c r="F2730" t="s">
        <v>2438</v>
      </c>
      <c r="I2730" t="s">
        <v>2446</v>
      </c>
      <c r="J2730" t="s">
        <v>2465</v>
      </c>
      <c r="K2730" t="s">
        <v>2569</v>
      </c>
      <c r="L2730" t="s">
        <v>2600</v>
      </c>
      <c r="M2730" t="s">
        <v>2616</v>
      </c>
    </row>
    <row r="2731" spans="1:14">
      <c r="A2731" s="1">
        <f>HYPERLINK("https://lsnyc.legalserver.org/matter/dynamic-profile/view/1846135","17-1846135")</f>
        <v>0</v>
      </c>
      <c r="B2731" t="s">
        <v>19</v>
      </c>
      <c r="C2731" t="s">
        <v>54</v>
      </c>
      <c r="D2731" t="s">
        <v>1576</v>
      </c>
      <c r="E2731" t="s">
        <v>2374</v>
      </c>
      <c r="F2731" t="s">
        <v>2438</v>
      </c>
      <c r="I2731" t="s">
        <v>2446</v>
      </c>
      <c r="J2731" t="s">
        <v>2465</v>
      </c>
      <c r="K2731" t="s">
        <v>2569</v>
      </c>
      <c r="L2731" t="s">
        <v>2600</v>
      </c>
      <c r="M2731" t="s">
        <v>2616</v>
      </c>
    </row>
    <row r="2732" spans="1:14">
      <c r="A2732" s="1">
        <f>HYPERLINK("https://lsnyc.legalserver.org/matter/dynamic-profile/view/1845927","17-1845927")</f>
        <v>0</v>
      </c>
      <c r="B2732" t="s">
        <v>16</v>
      </c>
      <c r="C2732" t="s">
        <v>77</v>
      </c>
      <c r="D2732" t="s">
        <v>2135</v>
      </c>
      <c r="E2732" t="s">
        <v>2390</v>
      </c>
      <c r="F2732" t="s">
        <v>2439</v>
      </c>
      <c r="K2732" t="s">
        <v>2569</v>
      </c>
      <c r="L2732" t="s">
        <v>2601</v>
      </c>
      <c r="M2732" t="s">
        <v>2631</v>
      </c>
    </row>
    <row r="2733" spans="1:14">
      <c r="A2733" s="1">
        <f>HYPERLINK("https://lsnyc.legalserver.org/matter/dynamic-profile/view/1845997","17-1845997")</f>
        <v>0</v>
      </c>
      <c r="B2733" t="s">
        <v>16</v>
      </c>
      <c r="C2733" t="s">
        <v>77</v>
      </c>
      <c r="D2733" t="s">
        <v>2136</v>
      </c>
      <c r="E2733" t="s">
        <v>2390</v>
      </c>
      <c r="F2733" t="s">
        <v>2439</v>
      </c>
      <c r="K2733" t="s">
        <v>2569</v>
      </c>
      <c r="L2733" t="s">
        <v>2601</v>
      </c>
      <c r="M2733" t="s">
        <v>2631</v>
      </c>
    </row>
    <row r="2734" spans="1:14">
      <c r="A2734" s="1">
        <f>HYPERLINK("https://lsnyc.legalserver.org/matter/dynamic-profile/view/1845951","17-1845951")</f>
        <v>0</v>
      </c>
      <c r="B2734" t="s">
        <v>16</v>
      </c>
      <c r="C2734" t="s">
        <v>23</v>
      </c>
      <c r="D2734" t="s">
        <v>2137</v>
      </c>
      <c r="E2734" t="s">
        <v>2390</v>
      </c>
      <c r="F2734" t="s">
        <v>2439</v>
      </c>
      <c r="I2734" t="s">
        <v>2446</v>
      </c>
      <c r="J2734" t="s">
        <v>2448</v>
      </c>
      <c r="K2734" t="s">
        <v>2569</v>
      </c>
      <c r="L2734" t="s">
        <v>2601</v>
      </c>
      <c r="M2734" t="s">
        <v>2631</v>
      </c>
    </row>
    <row r="2735" spans="1:14">
      <c r="A2735" s="1">
        <f>HYPERLINK("https://lsnyc.legalserver.org/matter/dynamic-profile/view/1845813","17-1845813")</f>
        <v>0</v>
      </c>
      <c r="B2735" t="s">
        <v>16</v>
      </c>
      <c r="C2735" t="s">
        <v>77</v>
      </c>
      <c r="D2735" t="s">
        <v>2138</v>
      </c>
      <c r="E2735" t="s">
        <v>2390</v>
      </c>
      <c r="F2735" t="s">
        <v>2439</v>
      </c>
      <c r="K2735" t="s">
        <v>2569</v>
      </c>
      <c r="L2735" t="s">
        <v>2601</v>
      </c>
      <c r="M2735" t="s">
        <v>2631</v>
      </c>
    </row>
    <row r="2736" spans="1:14">
      <c r="A2736" s="1">
        <f>HYPERLINK("https://lsnyc.legalserver.org/matter/dynamic-profile/view/1845877","17-1845877")</f>
        <v>0</v>
      </c>
      <c r="B2736" t="s">
        <v>16</v>
      </c>
      <c r="C2736" t="s">
        <v>49</v>
      </c>
      <c r="D2736" t="s">
        <v>2139</v>
      </c>
      <c r="E2736" t="s">
        <v>2390</v>
      </c>
      <c r="F2736" t="s">
        <v>2437</v>
      </c>
      <c r="I2736" t="s">
        <v>2446</v>
      </c>
      <c r="J2736" t="s">
        <v>2452</v>
      </c>
      <c r="K2736" t="s">
        <v>2572</v>
      </c>
      <c r="M2736" t="s">
        <v>2626</v>
      </c>
    </row>
    <row r="2737" spans="1:13">
      <c r="A2737" s="1">
        <f>HYPERLINK("https://lsnyc.legalserver.org/matter/dynamic-profile/view/1845692","17-1845692")</f>
        <v>0</v>
      </c>
      <c r="B2737" t="s">
        <v>16</v>
      </c>
      <c r="C2737" t="s">
        <v>77</v>
      </c>
      <c r="D2737" t="s">
        <v>2140</v>
      </c>
      <c r="E2737" t="s">
        <v>2390</v>
      </c>
      <c r="F2737" t="s">
        <v>2439</v>
      </c>
      <c r="K2737" t="s">
        <v>2569</v>
      </c>
      <c r="L2737" t="s">
        <v>2601</v>
      </c>
      <c r="M2737" t="s">
        <v>2631</v>
      </c>
    </row>
    <row r="2738" spans="1:13">
      <c r="A2738" s="1">
        <f>HYPERLINK("https://lsnyc.legalserver.org/matter/dynamic-profile/view/1845688","17-1845688")</f>
        <v>0</v>
      </c>
      <c r="B2738" t="s">
        <v>16</v>
      </c>
      <c r="C2738" t="s">
        <v>77</v>
      </c>
      <c r="D2738" t="s">
        <v>2141</v>
      </c>
      <c r="E2738" t="s">
        <v>2390</v>
      </c>
      <c r="F2738" t="s">
        <v>2439</v>
      </c>
      <c r="K2738" t="s">
        <v>2569</v>
      </c>
      <c r="L2738" t="s">
        <v>2601</v>
      </c>
      <c r="M2738" t="s">
        <v>2631</v>
      </c>
    </row>
    <row r="2739" spans="1:13">
      <c r="A2739" s="1">
        <f>HYPERLINK("https://lsnyc.legalserver.org/matter/dynamic-profile/view/1845697","17-1845697")</f>
        <v>0</v>
      </c>
      <c r="B2739" t="s">
        <v>18</v>
      </c>
      <c r="C2739" t="s">
        <v>77</v>
      </c>
      <c r="D2739" t="s">
        <v>2142</v>
      </c>
      <c r="E2739" t="s">
        <v>2390</v>
      </c>
      <c r="F2739" t="s">
        <v>2439</v>
      </c>
      <c r="K2739" t="s">
        <v>2569</v>
      </c>
      <c r="L2739" t="s">
        <v>2601</v>
      </c>
      <c r="M2739" t="s">
        <v>2631</v>
      </c>
    </row>
    <row r="2740" spans="1:13">
      <c r="A2740" s="1">
        <f>HYPERLINK("https://lsnyc.legalserver.org/matter/dynamic-profile/view/1845751","17-1845751")</f>
        <v>0</v>
      </c>
      <c r="B2740" t="s">
        <v>16</v>
      </c>
      <c r="C2740" t="s">
        <v>77</v>
      </c>
      <c r="D2740" t="s">
        <v>2143</v>
      </c>
      <c r="E2740" t="s">
        <v>2390</v>
      </c>
      <c r="F2740" t="s">
        <v>2439</v>
      </c>
      <c r="K2740" t="s">
        <v>2569</v>
      </c>
      <c r="L2740" t="s">
        <v>2601</v>
      </c>
      <c r="M2740" t="s">
        <v>2631</v>
      </c>
    </row>
    <row r="2741" spans="1:13">
      <c r="A2741" s="1">
        <f>HYPERLINK("https://lsnyc.legalserver.org/matter/dynamic-profile/view/1845702","17-1845702")</f>
        <v>0</v>
      </c>
      <c r="B2741" t="s">
        <v>19</v>
      </c>
      <c r="C2741" t="s">
        <v>50</v>
      </c>
      <c r="D2741" t="s">
        <v>2144</v>
      </c>
      <c r="E2741" t="s">
        <v>2375</v>
      </c>
      <c r="F2741" t="s">
        <v>2437</v>
      </c>
      <c r="I2741" t="s">
        <v>2446</v>
      </c>
      <c r="J2741" t="s">
        <v>2467</v>
      </c>
      <c r="K2741" t="s">
        <v>2572</v>
      </c>
      <c r="L2741" t="s">
        <v>2600</v>
      </c>
      <c r="M2741" t="s">
        <v>2617</v>
      </c>
    </row>
    <row r="2742" spans="1:13">
      <c r="A2742" s="1">
        <f>HYPERLINK("https://lsnyc.legalserver.org/matter/dynamic-profile/view/1845608","17-1845608")</f>
        <v>0</v>
      </c>
      <c r="B2742" t="s">
        <v>14</v>
      </c>
      <c r="C2742" t="s">
        <v>69</v>
      </c>
      <c r="D2742" t="s">
        <v>2145</v>
      </c>
      <c r="F2742" t="s">
        <v>2439</v>
      </c>
      <c r="J2742" t="s">
        <v>2447</v>
      </c>
      <c r="K2742" t="s">
        <v>2569</v>
      </c>
      <c r="L2742" t="s">
        <v>2602</v>
      </c>
      <c r="M2742" t="s">
        <v>2631</v>
      </c>
    </row>
    <row r="2743" spans="1:13">
      <c r="A2743" s="1">
        <f>HYPERLINK("https://lsnyc.legalserver.org/matter/dynamic-profile/view/1845505","17-1845505")</f>
        <v>0</v>
      </c>
      <c r="B2743" t="s">
        <v>18</v>
      </c>
      <c r="C2743" t="s">
        <v>77</v>
      </c>
      <c r="D2743" t="s">
        <v>2146</v>
      </c>
      <c r="E2743" t="s">
        <v>2390</v>
      </c>
      <c r="F2743" t="s">
        <v>2439</v>
      </c>
      <c r="K2743" t="s">
        <v>2569</v>
      </c>
      <c r="L2743" t="s">
        <v>2601</v>
      </c>
      <c r="M2743" t="s">
        <v>2631</v>
      </c>
    </row>
    <row r="2744" spans="1:13">
      <c r="A2744" s="1">
        <f>HYPERLINK("https://lsnyc.legalserver.org/matter/dynamic-profile/view/1845568","17-1845568")</f>
        <v>0</v>
      </c>
      <c r="B2744" t="s">
        <v>14</v>
      </c>
      <c r="C2744" t="s">
        <v>43</v>
      </c>
      <c r="D2744" t="s">
        <v>2147</v>
      </c>
      <c r="E2744" t="s">
        <v>2394</v>
      </c>
      <c r="F2744" t="s">
        <v>2439</v>
      </c>
      <c r="J2744" t="s">
        <v>2447</v>
      </c>
      <c r="K2744" t="s">
        <v>2572</v>
      </c>
      <c r="L2744" t="s">
        <v>2602</v>
      </c>
      <c r="M2744" t="s">
        <v>2631</v>
      </c>
    </row>
    <row r="2745" spans="1:13">
      <c r="A2745" s="1">
        <f>HYPERLINK("https://lsnyc.legalserver.org/matter/dynamic-profile/view/1844994","17-1844994")</f>
        <v>0</v>
      </c>
      <c r="B2745" t="s">
        <v>17</v>
      </c>
      <c r="C2745" t="s">
        <v>28</v>
      </c>
      <c r="D2745" t="s">
        <v>2148</v>
      </c>
      <c r="E2745" t="s">
        <v>2374</v>
      </c>
      <c r="F2745" t="s">
        <v>2438</v>
      </c>
      <c r="J2745" t="s">
        <v>2448</v>
      </c>
      <c r="K2745" t="s">
        <v>2569</v>
      </c>
      <c r="L2745" t="s">
        <v>2604</v>
      </c>
      <c r="M2745" t="s">
        <v>2616</v>
      </c>
    </row>
    <row r="2746" spans="1:13">
      <c r="A2746" s="1">
        <f>HYPERLINK("https://lsnyc.legalserver.org/matter/dynamic-profile/view/1845509","17-1845509")</f>
        <v>0</v>
      </c>
      <c r="B2746" t="s">
        <v>19</v>
      </c>
      <c r="C2746" t="s">
        <v>50</v>
      </c>
      <c r="D2746" t="s">
        <v>2149</v>
      </c>
      <c r="E2746" t="s">
        <v>2375</v>
      </c>
      <c r="F2746" t="s">
        <v>2437</v>
      </c>
      <c r="I2746" t="s">
        <v>2446</v>
      </c>
      <c r="J2746" t="s">
        <v>2471</v>
      </c>
      <c r="K2746" t="s">
        <v>2571</v>
      </c>
      <c r="L2746" t="s">
        <v>2600</v>
      </c>
      <c r="M2746" t="s">
        <v>2617</v>
      </c>
    </row>
    <row r="2747" spans="1:13">
      <c r="A2747" s="1">
        <f>HYPERLINK("https://lsnyc.legalserver.org/matter/dynamic-profile/view/1845558","17-1845558")</f>
        <v>0</v>
      </c>
      <c r="B2747" t="s">
        <v>15</v>
      </c>
      <c r="C2747" t="s">
        <v>49</v>
      </c>
      <c r="D2747" t="s">
        <v>2150</v>
      </c>
      <c r="E2747" t="s">
        <v>2390</v>
      </c>
      <c r="F2747" t="s">
        <v>2437</v>
      </c>
      <c r="I2747" t="s">
        <v>2446</v>
      </c>
      <c r="J2747" t="s">
        <v>2450</v>
      </c>
      <c r="K2747" t="s">
        <v>2569</v>
      </c>
      <c r="M2747" t="s">
        <v>2619</v>
      </c>
    </row>
    <row r="2748" spans="1:13">
      <c r="A2748" s="1">
        <f>HYPERLINK("https://lsnyc.legalserver.org/matter/dynamic-profile/view/1845454","17-1845454")</f>
        <v>0</v>
      </c>
      <c r="B2748" t="s">
        <v>16</v>
      </c>
      <c r="C2748" t="s">
        <v>77</v>
      </c>
      <c r="D2748" t="s">
        <v>2151</v>
      </c>
      <c r="E2748" t="s">
        <v>2390</v>
      </c>
      <c r="F2748" t="s">
        <v>2439</v>
      </c>
      <c r="K2748" t="s">
        <v>2569</v>
      </c>
      <c r="L2748" t="s">
        <v>2601</v>
      </c>
      <c r="M2748" t="s">
        <v>2631</v>
      </c>
    </row>
    <row r="2749" spans="1:13">
      <c r="A2749" s="1">
        <f>HYPERLINK("https://lsnyc.legalserver.org/matter/dynamic-profile/view/1845433","17-1845433")</f>
        <v>0</v>
      </c>
      <c r="B2749" t="s">
        <v>16</v>
      </c>
      <c r="C2749" t="s">
        <v>77</v>
      </c>
      <c r="D2749" t="s">
        <v>2152</v>
      </c>
      <c r="E2749" t="s">
        <v>2390</v>
      </c>
      <c r="F2749" t="s">
        <v>2439</v>
      </c>
      <c r="K2749" t="s">
        <v>2599</v>
      </c>
      <c r="L2749" t="s">
        <v>2601</v>
      </c>
      <c r="M2749" t="s">
        <v>2631</v>
      </c>
    </row>
    <row r="2750" spans="1:13">
      <c r="A2750" s="1">
        <f>HYPERLINK("https://lsnyc.legalserver.org/matter/dynamic-profile/view/1845342","17-1845342")</f>
        <v>0</v>
      </c>
      <c r="B2750" t="s">
        <v>15</v>
      </c>
      <c r="C2750" t="s">
        <v>31</v>
      </c>
      <c r="D2750" t="s">
        <v>2153</v>
      </c>
      <c r="E2750" t="s">
        <v>2390</v>
      </c>
      <c r="F2750" t="s">
        <v>2437</v>
      </c>
      <c r="H2750" t="s">
        <v>2445</v>
      </c>
      <c r="J2750" t="s">
        <v>2498</v>
      </c>
      <c r="K2750" t="s">
        <v>2572</v>
      </c>
      <c r="L2750" t="s">
        <v>2604</v>
      </c>
      <c r="M2750" t="s">
        <v>2619</v>
      </c>
    </row>
    <row r="2751" spans="1:13">
      <c r="A2751" s="1">
        <f>HYPERLINK("https://lsnyc.legalserver.org/matter/dynamic-profile/view/1845322","17-1845322")</f>
        <v>0</v>
      </c>
      <c r="B2751" t="s">
        <v>15</v>
      </c>
      <c r="C2751" t="s">
        <v>31</v>
      </c>
      <c r="D2751" t="s">
        <v>2154</v>
      </c>
      <c r="E2751" t="s">
        <v>2390</v>
      </c>
      <c r="F2751" t="s">
        <v>2437</v>
      </c>
      <c r="J2751" t="s">
        <v>2477</v>
      </c>
      <c r="K2751" t="s">
        <v>2572</v>
      </c>
      <c r="L2751" t="s">
        <v>2600</v>
      </c>
      <c r="M2751" t="s">
        <v>2626</v>
      </c>
    </row>
    <row r="2752" spans="1:13">
      <c r="A2752" s="1">
        <f>HYPERLINK("https://lsnyc.legalserver.org/matter/dynamic-profile/view/1844964","17-1844964")</f>
        <v>0</v>
      </c>
      <c r="B2752" t="s">
        <v>16</v>
      </c>
      <c r="C2752" t="s">
        <v>77</v>
      </c>
      <c r="D2752" t="s">
        <v>2155</v>
      </c>
      <c r="E2752" t="s">
        <v>2390</v>
      </c>
      <c r="F2752" t="s">
        <v>2439</v>
      </c>
      <c r="K2752" t="s">
        <v>2572</v>
      </c>
      <c r="L2752" t="s">
        <v>2601</v>
      </c>
      <c r="M2752" t="s">
        <v>2631</v>
      </c>
    </row>
    <row r="2753" spans="1:13">
      <c r="A2753" s="1">
        <f>HYPERLINK("https://lsnyc.legalserver.org/matter/dynamic-profile/view/1845067","17-1845067")</f>
        <v>0</v>
      </c>
      <c r="B2753" t="s">
        <v>14</v>
      </c>
      <c r="C2753" t="s">
        <v>43</v>
      </c>
      <c r="D2753" t="s">
        <v>2103</v>
      </c>
      <c r="F2753" t="s">
        <v>2440</v>
      </c>
      <c r="J2753" t="s">
        <v>2460</v>
      </c>
      <c r="K2753" t="s">
        <v>2572</v>
      </c>
      <c r="L2753" t="s">
        <v>2602</v>
      </c>
      <c r="M2753" t="s">
        <v>2631</v>
      </c>
    </row>
    <row r="2754" spans="1:13">
      <c r="A2754" s="1">
        <f>HYPERLINK("https://lsnyc.legalserver.org/matter/dynamic-profile/view/1845066","17-1845066")</f>
        <v>0</v>
      </c>
      <c r="B2754" t="s">
        <v>14</v>
      </c>
      <c r="C2754" t="s">
        <v>44</v>
      </c>
      <c r="D2754" t="s">
        <v>2156</v>
      </c>
      <c r="E2754" t="s">
        <v>2381</v>
      </c>
      <c r="F2754" t="s">
        <v>2442</v>
      </c>
      <c r="J2754" t="s">
        <v>2485</v>
      </c>
      <c r="K2754" t="s">
        <v>2572</v>
      </c>
      <c r="L2754" t="s">
        <v>2603</v>
      </c>
      <c r="M2754" t="s">
        <v>2622</v>
      </c>
    </row>
    <row r="2755" spans="1:13">
      <c r="A2755" s="1">
        <f>HYPERLINK("https://lsnyc.legalserver.org/matter/dynamic-profile/view/1845174","17-1845174")</f>
        <v>0</v>
      </c>
      <c r="B2755" t="s">
        <v>16</v>
      </c>
      <c r="C2755" t="s">
        <v>77</v>
      </c>
      <c r="D2755" t="s">
        <v>2157</v>
      </c>
      <c r="E2755" t="s">
        <v>2390</v>
      </c>
      <c r="F2755" t="s">
        <v>2439</v>
      </c>
      <c r="K2755" t="s">
        <v>2572</v>
      </c>
      <c r="L2755" t="s">
        <v>2601</v>
      </c>
      <c r="M2755" t="s">
        <v>2631</v>
      </c>
    </row>
    <row r="2756" spans="1:13">
      <c r="A2756" s="1">
        <f>HYPERLINK("https://lsnyc.legalserver.org/matter/dynamic-profile/view/1845112","17-1845112")</f>
        <v>0</v>
      </c>
      <c r="B2756" t="s">
        <v>16</v>
      </c>
      <c r="C2756" t="s">
        <v>24</v>
      </c>
      <c r="D2756" t="s">
        <v>2158</v>
      </c>
      <c r="E2756" t="s">
        <v>2390</v>
      </c>
      <c r="F2756" t="s">
        <v>2439</v>
      </c>
      <c r="K2756" t="s">
        <v>2569</v>
      </c>
      <c r="L2756" t="s">
        <v>2601</v>
      </c>
      <c r="M2756" t="s">
        <v>2631</v>
      </c>
    </row>
    <row r="2757" spans="1:13">
      <c r="A2757" s="1">
        <f>HYPERLINK("https://lsnyc.legalserver.org/matter/dynamic-profile/view/1845167","17-1845167")</f>
        <v>0</v>
      </c>
      <c r="B2757" t="s">
        <v>16</v>
      </c>
      <c r="C2757" t="s">
        <v>23</v>
      </c>
      <c r="D2757" t="s">
        <v>2159</v>
      </c>
      <c r="E2757" t="s">
        <v>2390</v>
      </c>
      <c r="F2757" t="s">
        <v>2439</v>
      </c>
      <c r="I2757" t="s">
        <v>2446</v>
      </c>
      <c r="J2757" t="s">
        <v>2448</v>
      </c>
      <c r="K2757" t="s">
        <v>2569</v>
      </c>
      <c r="L2757" t="s">
        <v>2601</v>
      </c>
      <c r="M2757" t="s">
        <v>2631</v>
      </c>
    </row>
    <row r="2758" spans="1:13">
      <c r="A2758" s="1">
        <f>HYPERLINK("https://lsnyc.legalserver.org/matter/dynamic-profile/view/1845086","17-1845086")</f>
        <v>0</v>
      </c>
      <c r="B2758" t="s">
        <v>15</v>
      </c>
      <c r="C2758" t="s">
        <v>37</v>
      </c>
      <c r="D2758" t="s">
        <v>2160</v>
      </c>
      <c r="E2758" t="s">
        <v>2390</v>
      </c>
      <c r="F2758" t="s">
        <v>2440</v>
      </c>
      <c r="I2758" t="s">
        <v>2446</v>
      </c>
      <c r="J2758" t="s">
        <v>2448</v>
      </c>
      <c r="K2758" t="s">
        <v>2569</v>
      </c>
      <c r="L2758" t="s">
        <v>2602</v>
      </c>
      <c r="M2758" t="s">
        <v>2631</v>
      </c>
    </row>
    <row r="2759" spans="1:13">
      <c r="A2759" s="1">
        <f>HYPERLINK("https://lsnyc.legalserver.org/matter/dynamic-profile/view/1845173","17-1845173")</f>
        <v>0</v>
      </c>
      <c r="B2759" t="s">
        <v>15</v>
      </c>
      <c r="C2759" t="s">
        <v>49</v>
      </c>
      <c r="D2759" t="s">
        <v>2161</v>
      </c>
      <c r="E2759" t="s">
        <v>2390</v>
      </c>
      <c r="F2759" t="s">
        <v>2437</v>
      </c>
      <c r="I2759" t="s">
        <v>2446</v>
      </c>
      <c r="J2759" t="s">
        <v>2465</v>
      </c>
      <c r="K2759" t="s">
        <v>2569</v>
      </c>
      <c r="L2759" t="s">
        <v>2604</v>
      </c>
      <c r="M2759" t="s">
        <v>2619</v>
      </c>
    </row>
    <row r="2760" spans="1:13">
      <c r="A2760" s="1">
        <f>HYPERLINK("https://lsnyc.legalserver.org/matter/dynamic-profile/view/1845156","17-1845156")</f>
        <v>0</v>
      </c>
      <c r="B2760" t="s">
        <v>16</v>
      </c>
      <c r="C2760" t="s">
        <v>23</v>
      </c>
      <c r="D2760" t="s">
        <v>2162</v>
      </c>
      <c r="E2760" t="s">
        <v>2390</v>
      </c>
      <c r="F2760" t="s">
        <v>2437</v>
      </c>
      <c r="I2760" t="s">
        <v>2446</v>
      </c>
      <c r="J2760" t="s">
        <v>2503</v>
      </c>
      <c r="K2760" t="s">
        <v>2572</v>
      </c>
      <c r="M2760" t="s">
        <v>2626</v>
      </c>
    </row>
    <row r="2761" spans="1:13">
      <c r="A2761" s="1">
        <f>HYPERLINK("https://lsnyc.legalserver.org/matter/dynamic-profile/view/1845017","17-1845017")</f>
        <v>0</v>
      </c>
      <c r="B2761" t="s">
        <v>19</v>
      </c>
      <c r="C2761" t="s">
        <v>54</v>
      </c>
      <c r="D2761" t="s">
        <v>2163</v>
      </c>
      <c r="E2761" t="s">
        <v>2374</v>
      </c>
      <c r="F2761" t="s">
        <v>2438</v>
      </c>
      <c r="H2761" t="s">
        <v>2445</v>
      </c>
      <c r="J2761" t="s">
        <v>2516</v>
      </c>
      <c r="K2761" t="s">
        <v>2572</v>
      </c>
      <c r="L2761" t="s">
        <v>2603</v>
      </c>
      <c r="M2761" t="s">
        <v>2626</v>
      </c>
    </row>
    <row r="2762" spans="1:13">
      <c r="A2762" s="1">
        <f>HYPERLINK("https://lsnyc.legalserver.org/matter/dynamic-profile/view/1845531","17-1845531")</f>
        <v>0</v>
      </c>
      <c r="B2762" t="s">
        <v>17</v>
      </c>
      <c r="C2762" t="s">
        <v>28</v>
      </c>
      <c r="D2762" t="s">
        <v>1846</v>
      </c>
      <c r="E2762" t="s">
        <v>2373</v>
      </c>
      <c r="F2762" t="s">
        <v>2441</v>
      </c>
      <c r="I2762" t="s">
        <v>2446</v>
      </c>
      <c r="J2762" t="s">
        <v>2450</v>
      </c>
      <c r="K2762" t="s">
        <v>2569</v>
      </c>
      <c r="L2762" t="s">
        <v>2609</v>
      </c>
      <c r="M2762" t="s">
        <v>2615</v>
      </c>
    </row>
    <row r="2763" spans="1:13">
      <c r="A2763" s="1">
        <f>HYPERLINK("https://lsnyc.legalserver.org/matter/dynamic-profile/view/1844897","17-1844897")</f>
        <v>0</v>
      </c>
      <c r="B2763" t="s">
        <v>16</v>
      </c>
      <c r="C2763" t="s">
        <v>77</v>
      </c>
      <c r="D2763" t="s">
        <v>2164</v>
      </c>
      <c r="E2763" t="s">
        <v>2390</v>
      </c>
      <c r="F2763" t="s">
        <v>2439</v>
      </c>
      <c r="K2763" t="s">
        <v>2569</v>
      </c>
      <c r="L2763" t="s">
        <v>2601</v>
      </c>
      <c r="M2763" t="s">
        <v>2631</v>
      </c>
    </row>
    <row r="2764" spans="1:13">
      <c r="A2764" s="1">
        <f>HYPERLINK("https://lsnyc.legalserver.org/matter/dynamic-profile/view/1844915","17-1844915")</f>
        <v>0</v>
      </c>
      <c r="B2764" t="s">
        <v>14</v>
      </c>
      <c r="C2764" t="s">
        <v>69</v>
      </c>
      <c r="D2764" t="s">
        <v>2165</v>
      </c>
      <c r="E2764" t="s">
        <v>2391</v>
      </c>
      <c r="F2764" t="s">
        <v>2439</v>
      </c>
      <c r="J2764" t="s">
        <v>2450</v>
      </c>
      <c r="K2764" t="s">
        <v>2569</v>
      </c>
      <c r="L2764" t="s">
        <v>2602</v>
      </c>
      <c r="M2764" t="s">
        <v>2631</v>
      </c>
    </row>
    <row r="2765" spans="1:13">
      <c r="A2765" s="1">
        <f>HYPERLINK("https://lsnyc.legalserver.org/matter/dynamic-profile/view/1844911","17-1844911")</f>
        <v>0</v>
      </c>
      <c r="B2765" t="s">
        <v>14</v>
      </c>
      <c r="C2765" t="s">
        <v>21</v>
      </c>
      <c r="D2765" t="s">
        <v>2166</v>
      </c>
      <c r="E2765" t="s">
        <v>2371</v>
      </c>
      <c r="F2765" t="s">
        <v>2437</v>
      </c>
      <c r="J2765" t="s">
        <v>2450</v>
      </c>
      <c r="K2765" t="s">
        <v>2569</v>
      </c>
      <c r="L2765" t="s">
        <v>2603</v>
      </c>
      <c r="M2765" t="s">
        <v>2612</v>
      </c>
    </row>
    <row r="2766" spans="1:13">
      <c r="A2766" s="1">
        <f>HYPERLINK("https://lsnyc.legalserver.org/matter/dynamic-profile/view/1844934","17-1844934")</f>
        <v>0</v>
      </c>
      <c r="B2766" t="s">
        <v>16</v>
      </c>
      <c r="C2766" t="s">
        <v>77</v>
      </c>
      <c r="D2766" t="s">
        <v>608</v>
      </c>
      <c r="E2766" t="s">
        <v>2390</v>
      </c>
      <c r="F2766" t="s">
        <v>2439</v>
      </c>
      <c r="K2766" t="s">
        <v>2569</v>
      </c>
      <c r="L2766" t="s">
        <v>2601</v>
      </c>
      <c r="M2766" t="s">
        <v>2631</v>
      </c>
    </row>
    <row r="2767" spans="1:13">
      <c r="A2767" s="1">
        <f>HYPERLINK("https://lsnyc.legalserver.org/matter/dynamic-profile/view/1844898","17-1844898")</f>
        <v>0</v>
      </c>
      <c r="B2767" t="s">
        <v>17</v>
      </c>
      <c r="C2767" t="s">
        <v>42</v>
      </c>
      <c r="D2767" t="s">
        <v>2069</v>
      </c>
      <c r="E2767" t="s">
        <v>2391</v>
      </c>
      <c r="F2767" t="s">
        <v>2437</v>
      </c>
      <c r="I2767" t="s">
        <v>2446</v>
      </c>
      <c r="J2767" t="s">
        <v>2454</v>
      </c>
      <c r="K2767" t="s">
        <v>2572</v>
      </c>
      <c r="L2767" t="s">
        <v>2600</v>
      </c>
      <c r="M2767" t="s">
        <v>2615</v>
      </c>
    </row>
    <row r="2768" spans="1:13">
      <c r="A2768" s="1">
        <f>HYPERLINK("https://lsnyc.legalserver.org/matter/dynamic-profile/view/1844767","17-1844767")</f>
        <v>0</v>
      </c>
      <c r="B2768" t="s">
        <v>16</v>
      </c>
      <c r="C2768" t="s">
        <v>77</v>
      </c>
      <c r="D2768" t="s">
        <v>2167</v>
      </c>
      <c r="E2768" t="s">
        <v>2390</v>
      </c>
      <c r="F2768" t="s">
        <v>2439</v>
      </c>
      <c r="K2768" t="s">
        <v>2569</v>
      </c>
      <c r="L2768" t="s">
        <v>2601</v>
      </c>
      <c r="M2768" t="s">
        <v>2631</v>
      </c>
    </row>
    <row r="2769" spans="1:13">
      <c r="A2769" s="1">
        <f>HYPERLINK("https://lsnyc.legalserver.org/matter/dynamic-profile/view/1844797","17-1844797")</f>
        <v>0</v>
      </c>
      <c r="B2769" t="s">
        <v>16</v>
      </c>
      <c r="C2769" t="s">
        <v>77</v>
      </c>
      <c r="D2769" t="s">
        <v>2168</v>
      </c>
      <c r="E2769" t="s">
        <v>2390</v>
      </c>
      <c r="F2769" t="s">
        <v>2439</v>
      </c>
      <c r="K2769" t="s">
        <v>2569</v>
      </c>
      <c r="L2769" t="s">
        <v>2601</v>
      </c>
      <c r="M2769" t="s">
        <v>2631</v>
      </c>
    </row>
    <row r="2770" spans="1:13">
      <c r="A2770" s="1">
        <f>HYPERLINK("https://lsnyc.legalserver.org/matter/dynamic-profile/view/1844765","17-1844765")</f>
        <v>0</v>
      </c>
      <c r="B2770" t="s">
        <v>15</v>
      </c>
      <c r="C2770" t="s">
        <v>50</v>
      </c>
      <c r="D2770" t="s">
        <v>2169</v>
      </c>
      <c r="E2770" t="s">
        <v>2390</v>
      </c>
      <c r="F2770" t="s">
        <v>2437</v>
      </c>
      <c r="H2770" t="s">
        <v>2445</v>
      </c>
      <c r="J2770" t="s">
        <v>2466</v>
      </c>
      <c r="K2770" t="s">
        <v>2572</v>
      </c>
      <c r="L2770" t="s">
        <v>2601</v>
      </c>
      <c r="M2770" t="s">
        <v>2631</v>
      </c>
    </row>
    <row r="2771" spans="1:13">
      <c r="A2771" s="1">
        <f>HYPERLINK("https://lsnyc.legalserver.org/matter/dynamic-profile/view/1844796","17-1844796")</f>
        <v>0</v>
      </c>
      <c r="B2771" t="s">
        <v>16</v>
      </c>
      <c r="C2771" t="s">
        <v>77</v>
      </c>
      <c r="D2771" t="s">
        <v>2170</v>
      </c>
      <c r="E2771" t="s">
        <v>2390</v>
      </c>
      <c r="F2771" t="s">
        <v>2439</v>
      </c>
      <c r="K2771" t="s">
        <v>2569</v>
      </c>
      <c r="L2771" t="s">
        <v>2601</v>
      </c>
      <c r="M2771" t="s">
        <v>2631</v>
      </c>
    </row>
    <row r="2772" spans="1:13">
      <c r="A2772" s="1">
        <f>HYPERLINK("https://lsnyc.legalserver.org/matter/dynamic-profile/view/1844756","17-1844756")</f>
        <v>0</v>
      </c>
      <c r="B2772" t="s">
        <v>16</v>
      </c>
      <c r="C2772" t="s">
        <v>77</v>
      </c>
      <c r="D2772" t="s">
        <v>2171</v>
      </c>
      <c r="E2772" t="s">
        <v>2390</v>
      </c>
      <c r="F2772" t="s">
        <v>2439</v>
      </c>
      <c r="K2772" t="s">
        <v>2569</v>
      </c>
      <c r="L2772" t="s">
        <v>2601</v>
      </c>
      <c r="M2772" t="s">
        <v>2631</v>
      </c>
    </row>
    <row r="2773" spans="1:13">
      <c r="A2773" s="1">
        <f>HYPERLINK("https://lsnyc.legalserver.org/matter/dynamic-profile/view/1844377","17-1844377")</f>
        <v>0</v>
      </c>
      <c r="B2773" t="s">
        <v>17</v>
      </c>
      <c r="C2773" t="s">
        <v>24</v>
      </c>
      <c r="D2773" t="s">
        <v>2172</v>
      </c>
      <c r="E2773" t="s">
        <v>2387</v>
      </c>
      <c r="F2773" t="s">
        <v>2440</v>
      </c>
      <c r="J2773" t="s">
        <v>2474</v>
      </c>
      <c r="K2773" t="s">
        <v>2572</v>
      </c>
      <c r="L2773" t="s">
        <v>2602</v>
      </c>
      <c r="M2773" t="s">
        <v>2641</v>
      </c>
    </row>
    <row r="2774" spans="1:13">
      <c r="A2774" s="1">
        <f>HYPERLINK("https://lsnyc.legalserver.org/matter/dynamic-profile/view/1844706","17-1844706")</f>
        <v>0</v>
      </c>
      <c r="B2774" t="s">
        <v>16</v>
      </c>
      <c r="C2774" t="s">
        <v>77</v>
      </c>
      <c r="D2774" t="s">
        <v>2173</v>
      </c>
      <c r="E2774" t="s">
        <v>2390</v>
      </c>
      <c r="F2774" t="s">
        <v>2439</v>
      </c>
      <c r="K2774" t="s">
        <v>2572</v>
      </c>
      <c r="L2774" t="s">
        <v>2601</v>
      </c>
      <c r="M2774" t="s">
        <v>2631</v>
      </c>
    </row>
    <row r="2775" spans="1:13">
      <c r="A2775" s="1">
        <f>HYPERLINK("https://lsnyc.legalserver.org/matter/dynamic-profile/view/1844724","17-1844724")</f>
        <v>0</v>
      </c>
      <c r="B2775" t="s">
        <v>15</v>
      </c>
      <c r="C2775" t="s">
        <v>46</v>
      </c>
      <c r="D2775" t="s">
        <v>2174</v>
      </c>
      <c r="E2775" t="s">
        <v>2381</v>
      </c>
      <c r="F2775" t="s">
        <v>2437</v>
      </c>
      <c r="J2775" t="s">
        <v>2452</v>
      </c>
      <c r="K2775" t="s">
        <v>2572</v>
      </c>
      <c r="L2775" t="s">
        <v>2603</v>
      </c>
      <c r="M2775" t="s">
        <v>2622</v>
      </c>
    </row>
    <row r="2776" spans="1:13">
      <c r="A2776" s="1">
        <f>HYPERLINK("https://lsnyc.legalserver.org/matter/dynamic-profile/view/1844565","17-1844565")</f>
        <v>0</v>
      </c>
      <c r="B2776" t="s">
        <v>16</v>
      </c>
      <c r="C2776" t="s">
        <v>77</v>
      </c>
      <c r="D2776" t="s">
        <v>2175</v>
      </c>
      <c r="E2776" t="s">
        <v>2390</v>
      </c>
      <c r="F2776" t="s">
        <v>2439</v>
      </c>
      <c r="K2776" t="s">
        <v>2592</v>
      </c>
      <c r="L2776" t="s">
        <v>2601</v>
      </c>
      <c r="M2776" t="s">
        <v>2631</v>
      </c>
    </row>
    <row r="2777" spans="1:13">
      <c r="A2777" s="1">
        <f>HYPERLINK("https://lsnyc.legalserver.org/matter/dynamic-profile/view/1844513","17-1844513")</f>
        <v>0</v>
      </c>
      <c r="B2777" t="s">
        <v>14</v>
      </c>
      <c r="C2777" t="s">
        <v>44</v>
      </c>
      <c r="D2777" t="s">
        <v>2176</v>
      </c>
      <c r="E2777" t="s">
        <v>2390</v>
      </c>
      <c r="F2777" t="s">
        <v>2442</v>
      </c>
      <c r="J2777" t="s">
        <v>2448</v>
      </c>
      <c r="K2777" t="s">
        <v>2569</v>
      </c>
      <c r="L2777" t="s">
        <v>2608</v>
      </c>
      <c r="M2777" t="s">
        <v>2619</v>
      </c>
    </row>
    <row r="2778" spans="1:13">
      <c r="A2778" s="1">
        <f>HYPERLINK("https://lsnyc.legalserver.org/matter/dynamic-profile/view/1844564","17-1844564")</f>
        <v>0</v>
      </c>
      <c r="B2778" t="s">
        <v>16</v>
      </c>
      <c r="C2778" t="s">
        <v>77</v>
      </c>
      <c r="D2778" t="s">
        <v>2177</v>
      </c>
      <c r="E2778" t="s">
        <v>2390</v>
      </c>
      <c r="F2778" t="s">
        <v>2439</v>
      </c>
      <c r="K2778" t="s">
        <v>2569</v>
      </c>
      <c r="L2778" t="s">
        <v>2601</v>
      </c>
      <c r="M2778" t="s">
        <v>2631</v>
      </c>
    </row>
    <row r="2779" spans="1:13">
      <c r="A2779" s="1">
        <f>HYPERLINK("https://lsnyc.legalserver.org/matter/dynamic-profile/view/1844526","17-1844526")</f>
        <v>0</v>
      </c>
      <c r="B2779" t="s">
        <v>19</v>
      </c>
      <c r="C2779" t="s">
        <v>50</v>
      </c>
      <c r="D2779" t="s">
        <v>2178</v>
      </c>
      <c r="E2779" t="s">
        <v>2375</v>
      </c>
      <c r="F2779" t="s">
        <v>2437</v>
      </c>
      <c r="J2779" t="s">
        <v>2562</v>
      </c>
      <c r="K2779" t="s">
        <v>2572</v>
      </c>
      <c r="L2779" t="s">
        <v>2603</v>
      </c>
      <c r="M2779" t="s">
        <v>2617</v>
      </c>
    </row>
    <row r="2780" spans="1:13">
      <c r="A2780" s="1">
        <f>HYPERLINK("https://lsnyc.legalserver.org/matter/dynamic-profile/view/1844510","17-1844510")</f>
        <v>0</v>
      </c>
      <c r="B2780" t="s">
        <v>16</v>
      </c>
      <c r="C2780" t="s">
        <v>23</v>
      </c>
      <c r="D2780" t="s">
        <v>1652</v>
      </c>
      <c r="E2780" t="s">
        <v>2390</v>
      </c>
      <c r="F2780" t="s">
        <v>2437</v>
      </c>
      <c r="I2780" t="s">
        <v>2446</v>
      </c>
      <c r="J2780" t="s">
        <v>2448</v>
      </c>
      <c r="K2780" t="s">
        <v>2569</v>
      </c>
      <c r="M2780" t="s">
        <v>2626</v>
      </c>
    </row>
    <row r="2781" spans="1:13">
      <c r="A2781" s="1">
        <f>HYPERLINK("https://lsnyc.legalserver.org/matter/dynamic-profile/view/1844486","17-1844486")</f>
        <v>0</v>
      </c>
      <c r="B2781" t="s">
        <v>19</v>
      </c>
      <c r="C2781" t="s">
        <v>50</v>
      </c>
      <c r="D2781" t="s">
        <v>2179</v>
      </c>
      <c r="E2781" t="s">
        <v>2390</v>
      </c>
      <c r="F2781" t="s">
        <v>2437</v>
      </c>
      <c r="I2781" t="s">
        <v>2446</v>
      </c>
      <c r="J2781" t="s">
        <v>2465</v>
      </c>
      <c r="K2781" t="s">
        <v>2569</v>
      </c>
      <c r="L2781" t="s">
        <v>2600</v>
      </c>
      <c r="M2781" t="s">
        <v>2619</v>
      </c>
    </row>
    <row r="2782" spans="1:13">
      <c r="A2782" s="1">
        <f>HYPERLINK("https://lsnyc.legalserver.org/matter/dynamic-profile/view/1844402","17-1844402")</f>
        <v>0</v>
      </c>
      <c r="B2782" t="s">
        <v>16</v>
      </c>
      <c r="C2782" t="s">
        <v>46</v>
      </c>
      <c r="D2782" t="s">
        <v>2180</v>
      </c>
      <c r="E2782" t="s">
        <v>2390</v>
      </c>
      <c r="F2782" t="s">
        <v>2437</v>
      </c>
      <c r="J2782" t="s">
        <v>2480</v>
      </c>
      <c r="K2782" t="s">
        <v>2572</v>
      </c>
      <c r="L2782" t="s">
        <v>2605</v>
      </c>
      <c r="M2782" t="s">
        <v>2619</v>
      </c>
    </row>
    <row r="2783" spans="1:13">
      <c r="A2783" s="1">
        <f>HYPERLINK("https://lsnyc.legalserver.org/matter/dynamic-profile/view/1844217","17-1844217")</f>
        <v>0</v>
      </c>
      <c r="B2783" t="s">
        <v>16</v>
      </c>
      <c r="C2783" t="s">
        <v>23</v>
      </c>
      <c r="D2783" t="s">
        <v>2181</v>
      </c>
      <c r="E2783" t="s">
        <v>2390</v>
      </c>
      <c r="F2783" t="s">
        <v>2439</v>
      </c>
      <c r="K2783" t="s">
        <v>2569</v>
      </c>
      <c r="L2783" t="s">
        <v>2601</v>
      </c>
      <c r="M2783" t="s">
        <v>2631</v>
      </c>
    </row>
    <row r="2784" spans="1:13">
      <c r="A2784" s="1">
        <f>HYPERLINK("https://lsnyc.legalserver.org/matter/dynamic-profile/view/1844242","17-1844242")</f>
        <v>0</v>
      </c>
      <c r="B2784" t="s">
        <v>14</v>
      </c>
      <c r="C2784" t="s">
        <v>44</v>
      </c>
      <c r="D2784" t="s">
        <v>2182</v>
      </c>
      <c r="E2784" t="s">
        <v>2394</v>
      </c>
      <c r="F2784" t="s">
        <v>2442</v>
      </c>
      <c r="J2784" t="s">
        <v>2563</v>
      </c>
      <c r="K2784" t="s">
        <v>2572</v>
      </c>
      <c r="L2784" t="s">
        <v>2600</v>
      </c>
      <c r="M2784" t="s">
        <v>2627</v>
      </c>
    </row>
    <row r="2785" spans="1:13">
      <c r="A2785" s="1">
        <f>HYPERLINK("https://lsnyc.legalserver.org/matter/dynamic-profile/view/1844073","17-1844073")</f>
        <v>0</v>
      </c>
      <c r="B2785" t="s">
        <v>16</v>
      </c>
      <c r="C2785" t="s">
        <v>77</v>
      </c>
      <c r="D2785" t="s">
        <v>2183</v>
      </c>
      <c r="E2785" t="s">
        <v>2390</v>
      </c>
      <c r="K2785" t="s">
        <v>2582</v>
      </c>
      <c r="L2785" t="s">
        <v>2601</v>
      </c>
      <c r="M2785" t="s">
        <v>2631</v>
      </c>
    </row>
    <row r="2786" spans="1:13">
      <c r="A2786" s="1">
        <f>HYPERLINK("https://lsnyc.legalserver.org/matter/dynamic-profile/view/1844143","17-1844143")</f>
        <v>0</v>
      </c>
      <c r="B2786" t="s">
        <v>16</v>
      </c>
      <c r="C2786" t="s">
        <v>77</v>
      </c>
      <c r="D2786" t="s">
        <v>2184</v>
      </c>
      <c r="E2786" t="s">
        <v>2390</v>
      </c>
      <c r="F2786" t="s">
        <v>2439</v>
      </c>
      <c r="K2786" t="s">
        <v>2569</v>
      </c>
      <c r="L2786" t="s">
        <v>2601</v>
      </c>
      <c r="M2786" t="s">
        <v>2631</v>
      </c>
    </row>
    <row r="2787" spans="1:13">
      <c r="A2787" s="1">
        <f>HYPERLINK("https://lsnyc.legalserver.org/matter/dynamic-profile/view/1844072","17-1844072")</f>
        <v>0</v>
      </c>
      <c r="B2787" t="s">
        <v>16</v>
      </c>
      <c r="C2787" t="s">
        <v>77</v>
      </c>
      <c r="D2787" t="s">
        <v>2185</v>
      </c>
      <c r="E2787" t="s">
        <v>2390</v>
      </c>
      <c r="F2787" t="s">
        <v>2439</v>
      </c>
      <c r="K2787" t="s">
        <v>2572</v>
      </c>
      <c r="L2787" t="s">
        <v>2601</v>
      </c>
      <c r="M2787" t="s">
        <v>2631</v>
      </c>
    </row>
    <row r="2788" spans="1:13">
      <c r="A2788" s="1">
        <f>HYPERLINK("https://lsnyc.legalserver.org/matter/dynamic-profile/view/1844136","17-1844136")</f>
        <v>0</v>
      </c>
      <c r="B2788" t="s">
        <v>16</v>
      </c>
      <c r="C2788" t="s">
        <v>23</v>
      </c>
      <c r="D2788" t="s">
        <v>2186</v>
      </c>
      <c r="E2788" t="s">
        <v>2390</v>
      </c>
      <c r="F2788" t="s">
        <v>2439</v>
      </c>
      <c r="I2788" t="s">
        <v>2446</v>
      </c>
      <c r="J2788" t="s">
        <v>2448</v>
      </c>
      <c r="K2788" t="s">
        <v>2569</v>
      </c>
      <c r="L2788" t="s">
        <v>2601</v>
      </c>
      <c r="M2788" t="s">
        <v>2631</v>
      </c>
    </row>
    <row r="2789" spans="1:13">
      <c r="A2789" s="1">
        <f>HYPERLINK("https://lsnyc.legalserver.org/matter/dynamic-profile/view/1844163","17-1844163")</f>
        <v>0</v>
      </c>
      <c r="B2789" t="s">
        <v>16</v>
      </c>
      <c r="C2789" t="s">
        <v>23</v>
      </c>
      <c r="D2789" t="s">
        <v>2187</v>
      </c>
      <c r="E2789" t="s">
        <v>2390</v>
      </c>
      <c r="F2789" t="s">
        <v>2437</v>
      </c>
      <c r="I2789" t="s">
        <v>2446</v>
      </c>
      <c r="J2789" t="s">
        <v>2448</v>
      </c>
      <c r="K2789" t="s">
        <v>2572</v>
      </c>
      <c r="M2789" t="s">
        <v>2619</v>
      </c>
    </row>
    <row r="2790" spans="1:13">
      <c r="A2790" s="1">
        <f>HYPERLINK("https://lsnyc.legalserver.org/matter/dynamic-profile/view/1844043","17-1844043")</f>
        <v>0</v>
      </c>
      <c r="B2790" t="s">
        <v>16</v>
      </c>
      <c r="C2790" t="s">
        <v>77</v>
      </c>
      <c r="D2790" t="s">
        <v>2188</v>
      </c>
      <c r="E2790" t="s">
        <v>2390</v>
      </c>
      <c r="F2790" t="s">
        <v>2439</v>
      </c>
      <c r="K2790" t="s">
        <v>2572</v>
      </c>
      <c r="L2790" t="s">
        <v>2601</v>
      </c>
      <c r="M2790" t="s">
        <v>2631</v>
      </c>
    </row>
    <row r="2791" spans="1:13">
      <c r="A2791" s="1">
        <f>HYPERLINK("https://lsnyc.legalserver.org/matter/dynamic-profile/view/1843970","17-1843970")</f>
        <v>0</v>
      </c>
      <c r="B2791" t="s">
        <v>14</v>
      </c>
      <c r="C2791" t="s">
        <v>43</v>
      </c>
      <c r="D2791" t="s">
        <v>2189</v>
      </c>
      <c r="E2791" t="s">
        <v>2383</v>
      </c>
      <c r="F2791" t="s">
        <v>2439</v>
      </c>
      <c r="J2791" t="s">
        <v>2457</v>
      </c>
      <c r="K2791" t="s">
        <v>2572</v>
      </c>
      <c r="L2791" t="s">
        <v>2602</v>
      </c>
      <c r="M2791" t="s">
        <v>2631</v>
      </c>
    </row>
    <row r="2792" spans="1:13">
      <c r="A2792" s="1">
        <f>HYPERLINK("https://lsnyc.legalserver.org/matter/dynamic-profile/view/1843797","17-1843797")</f>
        <v>0</v>
      </c>
      <c r="B2792" t="s">
        <v>16</v>
      </c>
      <c r="C2792" t="s">
        <v>77</v>
      </c>
      <c r="D2792" t="s">
        <v>2190</v>
      </c>
      <c r="E2792" t="s">
        <v>2390</v>
      </c>
      <c r="F2792" t="s">
        <v>2439</v>
      </c>
      <c r="K2792" t="s">
        <v>2572</v>
      </c>
      <c r="L2792" t="s">
        <v>2601</v>
      </c>
      <c r="M2792" t="s">
        <v>2631</v>
      </c>
    </row>
    <row r="2793" spans="1:13">
      <c r="A2793" s="1">
        <f>HYPERLINK("https://lsnyc.legalserver.org/matter/dynamic-profile/view/1843701","17-1843701")</f>
        <v>0</v>
      </c>
      <c r="B2793" t="s">
        <v>16</v>
      </c>
      <c r="C2793" t="s">
        <v>77</v>
      </c>
      <c r="D2793" t="s">
        <v>2191</v>
      </c>
      <c r="E2793" t="s">
        <v>2390</v>
      </c>
      <c r="F2793" t="s">
        <v>2436</v>
      </c>
      <c r="K2793" t="s">
        <v>2572</v>
      </c>
      <c r="L2793" t="s">
        <v>2601</v>
      </c>
      <c r="M2793" t="s">
        <v>2631</v>
      </c>
    </row>
    <row r="2794" spans="1:13">
      <c r="A2794" s="1">
        <f>HYPERLINK("https://lsnyc.legalserver.org/matter/dynamic-profile/view/1843740","17-1843740")</f>
        <v>0</v>
      </c>
      <c r="B2794" t="s">
        <v>16</v>
      </c>
      <c r="C2794" t="s">
        <v>23</v>
      </c>
      <c r="D2794" t="s">
        <v>856</v>
      </c>
      <c r="E2794" t="s">
        <v>2390</v>
      </c>
      <c r="F2794" t="s">
        <v>2437</v>
      </c>
      <c r="I2794" t="s">
        <v>2446</v>
      </c>
      <c r="J2794" t="s">
        <v>2448</v>
      </c>
      <c r="K2794" t="s">
        <v>2569</v>
      </c>
      <c r="M2794" t="s">
        <v>2619</v>
      </c>
    </row>
    <row r="2795" spans="1:13">
      <c r="A2795" s="1">
        <f>HYPERLINK("https://lsnyc.legalserver.org/matter/dynamic-profile/view/1843498","17-1843498")</f>
        <v>0</v>
      </c>
      <c r="B2795" t="s">
        <v>16</v>
      </c>
      <c r="C2795" t="s">
        <v>77</v>
      </c>
      <c r="D2795" t="s">
        <v>2192</v>
      </c>
      <c r="E2795" t="s">
        <v>2390</v>
      </c>
      <c r="F2795" t="s">
        <v>2439</v>
      </c>
      <c r="K2795" t="s">
        <v>2569</v>
      </c>
      <c r="L2795" t="s">
        <v>2601</v>
      </c>
      <c r="M2795" t="s">
        <v>2631</v>
      </c>
    </row>
    <row r="2796" spans="1:13">
      <c r="A2796" s="1">
        <f>HYPERLINK("https://lsnyc.legalserver.org/matter/dynamic-profile/view/1843436","17-1843436")</f>
        <v>0</v>
      </c>
      <c r="B2796" t="s">
        <v>16</v>
      </c>
      <c r="C2796" t="s">
        <v>77</v>
      </c>
      <c r="D2796" t="s">
        <v>2193</v>
      </c>
      <c r="E2796" t="s">
        <v>2390</v>
      </c>
      <c r="F2796" t="s">
        <v>2439</v>
      </c>
      <c r="K2796" t="s">
        <v>2572</v>
      </c>
      <c r="L2796" t="s">
        <v>2601</v>
      </c>
      <c r="M2796" t="s">
        <v>2631</v>
      </c>
    </row>
    <row r="2797" spans="1:13">
      <c r="A2797" s="1">
        <f>HYPERLINK("https://lsnyc.legalserver.org/matter/dynamic-profile/view/1843445","17-1843445")</f>
        <v>0</v>
      </c>
      <c r="B2797" t="s">
        <v>16</v>
      </c>
      <c r="C2797" t="s">
        <v>77</v>
      </c>
      <c r="D2797" t="s">
        <v>2194</v>
      </c>
      <c r="E2797" t="s">
        <v>2390</v>
      </c>
      <c r="F2797" t="s">
        <v>2439</v>
      </c>
      <c r="K2797" t="s">
        <v>2572</v>
      </c>
      <c r="L2797" t="s">
        <v>2601</v>
      </c>
      <c r="M2797" t="s">
        <v>2631</v>
      </c>
    </row>
    <row r="2798" spans="1:13">
      <c r="A2798" s="1">
        <f>HYPERLINK("https://lsnyc.legalserver.org/matter/dynamic-profile/view/1843435","17-1843435")</f>
        <v>0</v>
      </c>
      <c r="B2798" t="s">
        <v>16</v>
      </c>
      <c r="C2798" t="s">
        <v>23</v>
      </c>
      <c r="D2798" t="s">
        <v>2195</v>
      </c>
      <c r="E2798" t="s">
        <v>2390</v>
      </c>
      <c r="F2798" t="s">
        <v>2439</v>
      </c>
      <c r="I2798" t="s">
        <v>2446</v>
      </c>
      <c r="J2798" t="s">
        <v>2448</v>
      </c>
      <c r="K2798" t="s">
        <v>2569</v>
      </c>
      <c r="L2798" t="s">
        <v>2601</v>
      </c>
      <c r="M2798" t="s">
        <v>2631</v>
      </c>
    </row>
    <row r="2799" spans="1:13">
      <c r="A2799" s="1">
        <f>HYPERLINK("https://lsnyc.legalserver.org/matter/dynamic-profile/view/1843510","17-1843510")</f>
        <v>0</v>
      </c>
      <c r="B2799" t="s">
        <v>14</v>
      </c>
      <c r="C2799" t="s">
        <v>43</v>
      </c>
      <c r="D2799" t="s">
        <v>2196</v>
      </c>
      <c r="E2799" t="s">
        <v>2383</v>
      </c>
      <c r="F2799" t="s">
        <v>2437</v>
      </c>
      <c r="J2799" t="s">
        <v>2484</v>
      </c>
      <c r="K2799" t="s">
        <v>2572</v>
      </c>
      <c r="L2799" t="s">
        <v>2604</v>
      </c>
      <c r="M2799" t="s">
        <v>2624</v>
      </c>
    </row>
    <row r="2800" spans="1:13">
      <c r="A2800" s="1">
        <f>HYPERLINK("https://lsnyc.legalserver.org/matter/dynamic-profile/view/1843524","17-1843524")</f>
        <v>0</v>
      </c>
      <c r="B2800" t="s">
        <v>14</v>
      </c>
      <c r="C2800" t="s">
        <v>43</v>
      </c>
      <c r="D2800" t="s">
        <v>2196</v>
      </c>
      <c r="E2800" t="s">
        <v>2383</v>
      </c>
      <c r="F2800" t="s">
        <v>2437</v>
      </c>
      <c r="I2800" t="s">
        <v>2446</v>
      </c>
      <c r="J2800" t="s">
        <v>2484</v>
      </c>
      <c r="K2800" t="s">
        <v>2572</v>
      </c>
      <c r="L2800" t="s">
        <v>2604</v>
      </c>
      <c r="M2800" t="s">
        <v>2624</v>
      </c>
    </row>
    <row r="2801" spans="1:13">
      <c r="A2801" s="1">
        <f>HYPERLINK("https://lsnyc.legalserver.org/matter/dynamic-profile/view/1843525","17-1843525")</f>
        <v>0</v>
      </c>
      <c r="B2801" t="s">
        <v>14</v>
      </c>
      <c r="C2801" t="s">
        <v>43</v>
      </c>
      <c r="D2801" t="s">
        <v>2196</v>
      </c>
      <c r="E2801" t="s">
        <v>2383</v>
      </c>
      <c r="F2801" t="s">
        <v>2437</v>
      </c>
      <c r="I2801" t="s">
        <v>2446</v>
      </c>
      <c r="J2801" t="s">
        <v>2484</v>
      </c>
      <c r="K2801" t="s">
        <v>2572</v>
      </c>
      <c r="L2801" t="s">
        <v>2604</v>
      </c>
      <c r="M2801" t="s">
        <v>2624</v>
      </c>
    </row>
    <row r="2802" spans="1:13">
      <c r="A2802" s="1">
        <f>HYPERLINK("https://lsnyc.legalserver.org/matter/dynamic-profile/view/1843328","17-1843328")</f>
        <v>0</v>
      </c>
      <c r="B2802" t="s">
        <v>14</v>
      </c>
      <c r="C2802" t="s">
        <v>69</v>
      </c>
      <c r="D2802" t="s">
        <v>2197</v>
      </c>
      <c r="F2802" t="s">
        <v>2439</v>
      </c>
      <c r="J2802" t="s">
        <v>2465</v>
      </c>
      <c r="K2802" t="s">
        <v>2572</v>
      </c>
      <c r="L2802" t="s">
        <v>2602</v>
      </c>
      <c r="M2802" t="s">
        <v>2631</v>
      </c>
    </row>
    <row r="2803" spans="1:13">
      <c r="A2803" s="1">
        <f>HYPERLINK("https://lsnyc.legalserver.org/matter/dynamic-profile/view/1843307","17-1843307")</f>
        <v>0</v>
      </c>
      <c r="B2803" t="s">
        <v>14</v>
      </c>
      <c r="C2803" t="s">
        <v>69</v>
      </c>
      <c r="D2803" t="s">
        <v>2198</v>
      </c>
      <c r="E2803" t="s">
        <v>2390</v>
      </c>
      <c r="F2803" t="s">
        <v>2437</v>
      </c>
      <c r="I2803" t="s">
        <v>2446</v>
      </c>
      <c r="J2803" t="s">
        <v>2485</v>
      </c>
      <c r="K2803" t="s">
        <v>2572</v>
      </c>
      <c r="L2803" t="s">
        <v>2600</v>
      </c>
      <c r="M2803" t="s">
        <v>2619</v>
      </c>
    </row>
    <row r="2804" spans="1:13">
      <c r="A2804" s="1">
        <f>HYPERLINK("https://lsnyc.legalserver.org/matter/dynamic-profile/view/1843218","17-1843218")</f>
        <v>0</v>
      </c>
      <c r="B2804" t="s">
        <v>16</v>
      </c>
      <c r="C2804" t="s">
        <v>46</v>
      </c>
      <c r="D2804" t="s">
        <v>2199</v>
      </c>
      <c r="E2804" t="s">
        <v>2390</v>
      </c>
      <c r="F2804" t="s">
        <v>2437</v>
      </c>
      <c r="I2804" t="s">
        <v>2446</v>
      </c>
      <c r="J2804" t="s">
        <v>2448</v>
      </c>
      <c r="K2804" t="s">
        <v>2569</v>
      </c>
      <c r="L2804" t="s">
        <v>2600</v>
      </c>
      <c r="M2804" t="s">
        <v>2619</v>
      </c>
    </row>
    <row r="2805" spans="1:13">
      <c r="A2805" s="1">
        <f>HYPERLINK("https://lsnyc.legalserver.org/matter/dynamic-profile/view/1843235","17-1843235")</f>
        <v>0</v>
      </c>
      <c r="B2805" t="s">
        <v>16</v>
      </c>
      <c r="C2805" t="s">
        <v>23</v>
      </c>
      <c r="D2805" t="s">
        <v>2200</v>
      </c>
      <c r="E2805" t="s">
        <v>2390</v>
      </c>
      <c r="F2805" t="s">
        <v>2437</v>
      </c>
      <c r="I2805" t="s">
        <v>2446</v>
      </c>
      <c r="J2805" t="s">
        <v>2450</v>
      </c>
      <c r="K2805" t="s">
        <v>2569</v>
      </c>
      <c r="M2805" t="s">
        <v>2619</v>
      </c>
    </row>
    <row r="2806" spans="1:13">
      <c r="A2806" s="1">
        <f>HYPERLINK("https://lsnyc.legalserver.org/matter/dynamic-profile/view/1843138","17-1843138")</f>
        <v>0</v>
      </c>
      <c r="B2806" t="s">
        <v>16</v>
      </c>
      <c r="C2806" t="s">
        <v>77</v>
      </c>
      <c r="D2806" t="s">
        <v>2201</v>
      </c>
      <c r="E2806" t="s">
        <v>2390</v>
      </c>
      <c r="F2806" t="s">
        <v>2439</v>
      </c>
      <c r="K2806" t="s">
        <v>2569</v>
      </c>
      <c r="L2806" t="s">
        <v>2601</v>
      </c>
      <c r="M2806" t="s">
        <v>2631</v>
      </c>
    </row>
    <row r="2807" spans="1:13">
      <c r="A2807" s="1">
        <f>HYPERLINK("https://lsnyc.legalserver.org/matter/dynamic-profile/view/1843141","17-1843141")</f>
        <v>0</v>
      </c>
      <c r="B2807" t="s">
        <v>16</v>
      </c>
      <c r="C2807" t="s">
        <v>24</v>
      </c>
      <c r="D2807" t="s">
        <v>2202</v>
      </c>
      <c r="E2807" t="s">
        <v>2390</v>
      </c>
      <c r="F2807" t="s">
        <v>2440</v>
      </c>
      <c r="I2807" t="s">
        <v>2446</v>
      </c>
      <c r="J2807" t="s">
        <v>2448</v>
      </c>
      <c r="K2807" t="s">
        <v>2569</v>
      </c>
      <c r="L2807" t="s">
        <v>2601</v>
      </c>
      <c r="M2807" t="s">
        <v>2631</v>
      </c>
    </row>
    <row r="2808" spans="1:13">
      <c r="A2808" s="1">
        <f>HYPERLINK("https://lsnyc.legalserver.org/matter/dynamic-profile/view/1843109","17-1843109")</f>
        <v>0</v>
      </c>
      <c r="B2808" t="s">
        <v>19</v>
      </c>
      <c r="C2808" t="s">
        <v>54</v>
      </c>
      <c r="D2808" t="s">
        <v>2203</v>
      </c>
      <c r="E2808" t="s">
        <v>2374</v>
      </c>
      <c r="F2808" t="s">
        <v>2438</v>
      </c>
      <c r="I2808" t="s">
        <v>2446</v>
      </c>
      <c r="J2808" t="s">
        <v>2484</v>
      </c>
      <c r="K2808" t="s">
        <v>2582</v>
      </c>
      <c r="L2808" t="s">
        <v>2601</v>
      </c>
      <c r="M2808" t="s">
        <v>2631</v>
      </c>
    </row>
    <row r="2809" spans="1:13">
      <c r="A2809" s="1">
        <f>HYPERLINK("https://lsnyc.legalserver.org/matter/dynamic-profile/view/1843000","17-1843000")</f>
        <v>0</v>
      </c>
      <c r="B2809" t="s">
        <v>16</v>
      </c>
      <c r="C2809" t="s">
        <v>77</v>
      </c>
      <c r="D2809" t="s">
        <v>2204</v>
      </c>
      <c r="E2809" t="s">
        <v>2390</v>
      </c>
      <c r="F2809" t="s">
        <v>2436</v>
      </c>
      <c r="K2809" t="s">
        <v>2572</v>
      </c>
      <c r="L2809" t="s">
        <v>2601</v>
      </c>
      <c r="M2809" t="s">
        <v>2631</v>
      </c>
    </row>
    <row r="2810" spans="1:13">
      <c r="A2810" s="1">
        <f>HYPERLINK("https://lsnyc.legalserver.org/matter/dynamic-profile/view/1842981","17-1842981")</f>
        <v>0</v>
      </c>
      <c r="B2810" t="s">
        <v>16</v>
      </c>
      <c r="C2810" t="s">
        <v>23</v>
      </c>
      <c r="D2810" t="s">
        <v>2205</v>
      </c>
      <c r="E2810" t="s">
        <v>2390</v>
      </c>
      <c r="F2810" t="s">
        <v>2439</v>
      </c>
      <c r="K2810" t="s">
        <v>2569</v>
      </c>
      <c r="L2810" t="s">
        <v>2601</v>
      </c>
      <c r="M2810" t="s">
        <v>2631</v>
      </c>
    </row>
    <row r="2811" spans="1:13">
      <c r="A2811" s="1">
        <f>HYPERLINK("https://lsnyc.legalserver.org/matter/dynamic-profile/view/1843038","17-1843038")</f>
        <v>0</v>
      </c>
      <c r="B2811" t="s">
        <v>16</v>
      </c>
      <c r="C2811" t="s">
        <v>46</v>
      </c>
      <c r="D2811" t="s">
        <v>2206</v>
      </c>
      <c r="E2811" t="s">
        <v>2390</v>
      </c>
      <c r="F2811" t="s">
        <v>2437</v>
      </c>
      <c r="I2811" t="s">
        <v>2446</v>
      </c>
      <c r="J2811" t="s">
        <v>2448</v>
      </c>
      <c r="K2811" t="s">
        <v>2569</v>
      </c>
      <c r="M2811" t="s">
        <v>2619</v>
      </c>
    </row>
    <row r="2812" spans="1:13">
      <c r="A2812" s="1">
        <f>HYPERLINK("https://lsnyc.legalserver.org/matter/dynamic-profile/view/1842866","17-1842866")</f>
        <v>0</v>
      </c>
      <c r="B2812" t="s">
        <v>14</v>
      </c>
      <c r="C2812" t="s">
        <v>43</v>
      </c>
      <c r="D2812" t="s">
        <v>2207</v>
      </c>
      <c r="E2812" t="s">
        <v>2383</v>
      </c>
      <c r="F2812" t="s">
        <v>2439</v>
      </c>
      <c r="J2812" t="s">
        <v>2457</v>
      </c>
      <c r="K2812" t="s">
        <v>2569</v>
      </c>
      <c r="L2812" t="s">
        <v>2602</v>
      </c>
      <c r="M2812" t="s">
        <v>2631</v>
      </c>
    </row>
    <row r="2813" spans="1:13">
      <c r="A2813" s="1">
        <f>HYPERLINK("https://lsnyc.legalserver.org/matter/dynamic-profile/view/1842671","17-1842671")</f>
        <v>0</v>
      </c>
      <c r="B2813" t="s">
        <v>16</v>
      </c>
      <c r="C2813" t="s">
        <v>77</v>
      </c>
      <c r="D2813" t="s">
        <v>2208</v>
      </c>
      <c r="E2813" t="s">
        <v>2390</v>
      </c>
      <c r="F2813" t="s">
        <v>2439</v>
      </c>
      <c r="K2813" t="s">
        <v>2569</v>
      </c>
      <c r="L2813" t="s">
        <v>2601</v>
      </c>
      <c r="M2813" t="s">
        <v>2631</v>
      </c>
    </row>
    <row r="2814" spans="1:13">
      <c r="A2814" s="1">
        <f>HYPERLINK("https://lsnyc.legalserver.org/matter/dynamic-profile/view/1842737","17-1842737")</f>
        <v>0</v>
      </c>
      <c r="B2814" t="s">
        <v>16</v>
      </c>
      <c r="C2814" t="s">
        <v>23</v>
      </c>
      <c r="D2814" t="s">
        <v>1727</v>
      </c>
      <c r="E2814" t="s">
        <v>2390</v>
      </c>
      <c r="F2814" t="s">
        <v>2437</v>
      </c>
      <c r="I2814" t="s">
        <v>2446</v>
      </c>
      <c r="J2814" t="s">
        <v>2447</v>
      </c>
      <c r="K2814" t="s">
        <v>2569</v>
      </c>
      <c r="M2814" t="s">
        <v>2619</v>
      </c>
    </row>
    <row r="2815" spans="1:13">
      <c r="A2815" s="1">
        <f>HYPERLINK("https://lsnyc.legalserver.org/matter/dynamic-profile/view/1842744","17-1842744")</f>
        <v>0</v>
      </c>
      <c r="B2815" t="s">
        <v>16</v>
      </c>
      <c r="C2815" t="s">
        <v>23</v>
      </c>
      <c r="D2815" t="s">
        <v>1726</v>
      </c>
      <c r="E2815" t="s">
        <v>2390</v>
      </c>
      <c r="F2815" t="s">
        <v>2437</v>
      </c>
      <c r="I2815" t="s">
        <v>2446</v>
      </c>
      <c r="J2815" t="s">
        <v>2447</v>
      </c>
      <c r="K2815" t="s">
        <v>2569</v>
      </c>
      <c r="M2815" t="s">
        <v>2619</v>
      </c>
    </row>
    <row r="2816" spans="1:13">
      <c r="A2816" s="1">
        <f>HYPERLINK("https://lsnyc.legalserver.org/matter/dynamic-profile/view/1842620","17-1842620")</f>
        <v>0</v>
      </c>
      <c r="B2816" t="s">
        <v>16</v>
      </c>
      <c r="C2816" t="s">
        <v>23</v>
      </c>
      <c r="D2816" t="s">
        <v>2209</v>
      </c>
      <c r="E2816" t="s">
        <v>2390</v>
      </c>
      <c r="F2816" t="s">
        <v>2439</v>
      </c>
      <c r="K2816" t="s">
        <v>2569</v>
      </c>
      <c r="L2816" t="s">
        <v>2601</v>
      </c>
      <c r="M2816" t="s">
        <v>2631</v>
      </c>
    </row>
    <row r="2817" spans="1:13">
      <c r="A2817" s="1">
        <f>HYPERLINK("https://lsnyc.legalserver.org/matter/dynamic-profile/view/1842579","17-1842579")</f>
        <v>0</v>
      </c>
      <c r="B2817" t="s">
        <v>16</v>
      </c>
      <c r="C2817" t="s">
        <v>46</v>
      </c>
      <c r="D2817" t="s">
        <v>602</v>
      </c>
      <c r="E2817" t="s">
        <v>2390</v>
      </c>
      <c r="F2817" t="s">
        <v>2437</v>
      </c>
      <c r="I2817" t="s">
        <v>2446</v>
      </c>
      <c r="J2817" t="s">
        <v>2448</v>
      </c>
      <c r="K2817" t="s">
        <v>2569</v>
      </c>
      <c r="L2817" t="s">
        <v>2600</v>
      </c>
      <c r="M2817" t="s">
        <v>2626</v>
      </c>
    </row>
    <row r="2818" spans="1:13">
      <c r="A2818" s="1">
        <f>HYPERLINK("https://lsnyc.legalserver.org/matter/dynamic-profile/view/1842600","17-1842600")</f>
        <v>0</v>
      </c>
      <c r="B2818" t="s">
        <v>17</v>
      </c>
      <c r="C2818" t="s">
        <v>28</v>
      </c>
      <c r="D2818" t="s">
        <v>2210</v>
      </c>
      <c r="E2818" t="s">
        <v>2375</v>
      </c>
      <c r="F2818" t="s">
        <v>2437</v>
      </c>
      <c r="I2818" t="s">
        <v>2446</v>
      </c>
      <c r="J2818" t="s">
        <v>2473</v>
      </c>
      <c r="K2818" t="s">
        <v>2572</v>
      </c>
      <c r="L2818" t="s">
        <v>2600</v>
      </c>
      <c r="M2818" t="s">
        <v>2617</v>
      </c>
    </row>
    <row r="2819" spans="1:13">
      <c r="A2819" s="1">
        <f>HYPERLINK("https://lsnyc.legalserver.org/matter/dynamic-profile/view/1842631","17-1842631")</f>
        <v>0</v>
      </c>
      <c r="B2819" t="s">
        <v>15</v>
      </c>
      <c r="C2819" t="s">
        <v>49</v>
      </c>
      <c r="D2819" t="s">
        <v>2211</v>
      </c>
      <c r="E2819" t="s">
        <v>2390</v>
      </c>
      <c r="F2819" t="s">
        <v>2437</v>
      </c>
      <c r="I2819" t="s">
        <v>2446</v>
      </c>
      <c r="J2819" t="s">
        <v>2474</v>
      </c>
      <c r="K2819" t="s">
        <v>2572</v>
      </c>
      <c r="M2819" t="s">
        <v>2619</v>
      </c>
    </row>
    <row r="2820" spans="1:13">
      <c r="A2820" s="1">
        <f>HYPERLINK("https://lsnyc.legalserver.org/matter/dynamic-profile/view/1842643","17-1842643")</f>
        <v>0</v>
      </c>
      <c r="B2820" t="s">
        <v>19</v>
      </c>
      <c r="C2820" t="s">
        <v>54</v>
      </c>
      <c r="D2820" t="s">
        <v>2212</v>
      </c>
      <c r="E2820" t="s">
        <v>2374</v>
      </c>
      <c r="F2820" t="s">
        <v>2438</v>
      </c>
      <c r="I2820" t="s">
        <v>2446</v>
      </c>
      <c r="J2820" t="s">
        <v>2447</v>
      </c>
      <c r="K2820" t="s">
        <v>2569</v>
      </c>
      <c r="M2820" t="s">
        <v>2616</v>
      </c>
    </row>
    <row r="2821" spans="1:13">
      <c r="A2821" s="1">
        <f>HYPERLINK("https://lsnyc.legalserver.org/matter/dynamic-profile/view/1842377","17-1842377")</f>
        <v>0</v>
      </c>
      <c r="B2821" t="s">
        <v>14</v>
      </c>
      <c r="C2821" t="s">
        <v>79</v>
      </c>
      <c r="D2821" t="s">
        <v>2213</v>
      </c>
      <c r="E2821" t="s">
        <v>2393</v>
      </c>
      <c r="F2821" t="s">
        <v>2437</v>
      </c>
      <c r="J2821" t="s">
        <v>2448</v>
      </c>
      <c r="K2821" t="s">
        <v>2569</v>
      </c>
      <c r="L2821" t="s">
        <v>2603</v>
      </c>
      <c r="M2821" t="s">
        <v>2637</v>
      </c>
    </row>
    <row r="2822" spans="1:13">
      <c r="A2822" s="1">
        <f>HYPERLINK("https://lsnyc.legalserver.org/matter/dynamic-profile/view/1842407","17-1842407")</f>
        <v>0</v>
      </c>
      <c r="B2822" t="s">
        <v>14</v>
      </c>
      <c r="C2822" t="s">
        <v>43</v>
      </c>
      <c r="D2822" t="s">
        <v>2214</v>
      </c>
      <c r="E2822" t="s">
        <v>2381</v>
      </c>
      <c r="F2822" t="s">
        <v>2439</v>
      </c>
      <c r="I2822" t="s">
        <v>2446</v>
      </c>
      <c r="J2822" t="s">
        <v>2452</v>
      </c>
      <c r="K2822" t="s">
        <v>2572</v>
      </c>
      <c r="L2822" t="s">
        <v>2601</v>
      </c>
      <c r="M2822" t="s">
        <v>2631</v>
      </c>
    </row>
    <row r="2823" spans="1:13">
      <c r="A2823" s="1">
        <f>HYPERLINK("https://lsnyc.legalserver.org/matter/dynamic-profile/view/1856260","17-1856260")</f>
        <v>0</v>
      </c>
      <c r="B2823" t="s">
        <v>19</v>
      </c>
      <c r="C2823" t="s">
        <v>54</v>
      </c>
      <c r="D2823" t="s">
        <v>2215</v>
      </c>
      <c r="E2823" t="s">
        <v>2374</v>
      </c>
      <c r="F2823" t="s">
        <v>2438</v>
      </c>
      <c r="I2823" t="s">
        <v>2446</v>
      </c>
      <c r="J2823" t="s">
        <v>2476</v>
      </c>
      <c r="K2823" t="s">
        <v>2572</v>
      </c>
      <c r="M2823" t="s">
        <v>2616</v>
      </c>
    </row>
    <row r="2824" spans="1:13">
      <c r="A2824" s="1">
        <f>HYPERLINK("https://lsnyc.legalserver.org/matter/dynamic-profile/view/1842201","17-1842201")</f>
        <v>0</v>
      </c>
      <c r="B2824" t="s">
        <v>14</v>
      </c>
      <c r="C2824" t="s">
        <v>44</v>
      </c>
      <c r="D2824" t="s">
        <v>2216</v>
      </c>
      <c r="E2824" t="s">
        <v>2381</v>
      </c>
      <c r="F2824" t="s">
        <v>2442</v>
      </c>
      <c r="J2824" t="s">
        <v>2467</v>
      </c>
      <c r="K2824" t="s">
        <v>2572</v>
      </c>
      <c r="L2824" t="s">
        <v>2608</v>
      </c>
      <c r="M2824" t="s">
        <v>2622</v>
      </c>
    </row>
    <row r="2825" spans="1:13">
      <c r="A2825" s="1">
        <f>HYPERLINK("https://lsnyc.legalserver.org/matter/dynamic-profile/view/1842101","17-1842101")</f>
        <v>0</v>
      </c>
      <c r="B2825" t="s">
        <v>19</v>
      </c>
      <c r="C2825" t="s">
        <v>62</v>
      </c>
      <c r="D2825" t="s">
        <v>2217</v>
      </c>
      <c r="E2825" t="s">
        <v>2375</v>
      </c>
      <c r="F2825" t="s">
        <v>2437</v>
      </c>
      <c r="I2825" t="s">
        <v>2446</v>
      </c>
      <c r="J2825" t="s">
        <v>2471</v>
      </c>
      <c r="K2825" t="s">
        <v>2572</v>
      </c>
      <c r="L2825" t="s">
        <v>2600</v>
      </c>
      <c r="M2825" t="s">
        <v>2617</v>
      </c>
    </row>
    <row r="2826" spans="1:13">
      <c r="A2826" s="1">
        <f>HYPERLINK("https://lsnyc.legalserver.org/matter/dynamic-profile/view/1841862","17-1841862")</f>
        <v>0</v>
      </c>
      <c r="B2826" t="s">
        <v>14</v>
      </c>
      <c r="C2826" t="s">
        <v>69</v>
      </c>
      <c r="D2826" t="s">
        <v>2218</v>
      </c>
      <c r="E2826" t="s">
        <v>2390</v>
      </c>
      <c r="F2826" t="s">
        <v>2439</v>
      </c>
      <c r="J2826" t="s">
        <v>2487</v>
      </c>
      <c r="K2826" t="s">
        <v>2582</v>
      </c>
      <c r="L2826" t="s">
        <v>2602</v>
      </c>
      <c r="M2826" t="s">
        <v>2631</v>
      </c>
    </row>
    <row r="2827" spans="1:13">
      <c r="A2827" s="1">
        <f>HYPERLINK("https://lsnyc.legalserver.org/matter/dynamic-profile/view/1841771","17-1841771")</f>
        <v>0</v>
      </c>
      <c r="B2827" t="s">
        <v>16</v>
      </c>
      <c r="C2827" t="s">
        <v>77</v>
      </c>
      <c r="D2827" t="s">
        <v>2219</v>
      </c>
      <c r="E2827" t="s">
        <v>2390</v>
      </c>
      <c r="F2827" t="s">
        <v>2439</v>
      </c>
      <c r="K2827" t="s">
        <v>2569</v>
      </c>
      <c r="L2827" t="s">
        <v>2601</v>
      </c>
      <c r="M2827" t="s">
        <v>2631</v>
      </c>
    </row>
    <row r="2828" spans="1:13">
      <c r="A2828" s="1">
        <f>HYPERLINK("https://lsnyc.legalserver.org/matter/dynamic-profile/view/1841894","17-1841894")</f>
        <v>0</v>
      </c>
      <c r="B2828" t="s">
        <v>17</v>
      </c>
      <c r="C2828" t="s">
        <v>60</v>
      </c>
      <c r="D2828" t="s">
        <v>546</v>
      </c>
      <c r="E2828" t="s">
        <v>2405</v>
      </c>
      <c r="F2828" t="s">
        <v>2437</v>
      </c>
      <c r="I2828" t="s">
        <v>2446</v>
      </c>
      <c r="J2828" t="s">
        <v>2457</v>
      </c>
      <c r="K2828" t="s">
        <v>2569</v>
      </c>
      <c r="L2828" t="s">
        <v>2600</v>
      </c>
      <c r="M2828" t="s">
        <v>2613</v>
      </c>
    </row>
    <row r="2829" spans="1:13">
      <c r="A2829" s="1">
        <f>HYPERLINK("https://lsnyc.legalserver.org/matter/dynamic-profile/view/1841672","17-1841672")</f>
        <v>0</v>
      </c>
      <c r="B2829" t="s">
        <v>16</v>
      </c>
      <c r="C2829" t="s">
        <v>77</v>
      </c>
      <c r="D2829" t="s">
        <v>2220</v>
      </c>
      <c r="E2829" t="s">
        <v>2390</v>
      </c>
      <c r="F2829" t="s">
        <v>2439</v>
      </c>
      <c r="H2829" t="s">
        <v>2445</v>
      </c>
      <c r="K2829" t="s">
        <v>2569</v>
      </c>
      <c r="L2829" t="s">
        <v>2601</v>
      </c>
      <c r="M2829" t="s">
        <v>2631</v>
      </c>
    </row>
    <row r="2830" spans="1:13">
      <c r="A2830" s="1">
        <f>HYPERLINK("https://lsnyc.legalserver.org/matter/dynamic-profile/view/1841580","17-1841580")</f>
        <v>0</v>
      </c>
      <c r="B2830" t="s">
        <v>18</v>
      </c>
      <c r="C2830" t="s">
        <v>80</v>
      </c>
      <c r="D2830" t="s">
        <v>1160</v>
      </c>
      <c r="E2830" t="s">
        <v>2394</v>
      </c>
      <c r="F2830" t="s">
        <v>2442</v>
      </c>
      <c r="K2830" t="s">
        <v>2569</v>
      </c>
      <c r="L2830" t="s">
        <v>2602</v>
      </c>
      <c r="M2830" t="s">
        <v>2627</v>
      </c>
    </row>
    <row r="2831" spans="1:13">
      <c r="A2831" s="1">
        <f>HYPERLINK("https://lsnyc.legalserver.org/matter/dynamic-profile/view/1841420","17-1841420")</f>
        <v>0</v>
      </c>
      <c r="B2831" t="s">
        <v>14</v>
      </c>
      <c r="C2831" t="s">
        <v>69</v>
      </c>
      <c r="D2831" t="s">
        <v>2221</v>
      </c>
      <c r="F2831" t="s">
        <v>2439</v>
      </c>
      <c r="J2831" t="s">
        <v>2450</v>
      </c>
      <c r="K2831" t="s">
        <v>2569</v>
      </c>
      <c r="L2831" t="s">
        <v>2602</v>
      </c>
      <c r="M2831" t="s">
        <v>2631</v>
      </c>
    </row>
    <row r="2832" spans="1:13">
      <c r="A2832" s="1">
        <f>HYPERLINK("https://lsnyc.legalserver.org/matter/dynamic-profile/view/1841392","17-1841392")</f>
        <v>0</v>
      </c>
      <c r="B2832" t="s">
        <v>16</v>
      </c>
      <c r="C2832" t="s">
        <v>77</v>
      </c>
      <c r="D2832" t="s">
        <v>2222</v>
      </c>
      <c r="E2832" t="s">
        <v>2390</v>
      </c>
      <c r="F2832" t="s">
        <v>2439</v>
      </c>
      <c r="K2832" t="s">
        <v>2569</v>
      </c>
      <c r="L2832" t="s">
        <v>2601</v>
      </c>
      <c r="M2832" t="s">
        <v>2631</v>
      </c>
    </row>
    <row r="2833" spans="1:13">
      <c r="A2833" s="1">
        <f>HYPERLINK("https://lsnyc.legalserver.org/matter/dynamic-profile/view/1841407","17-1841407")</f>
        <v>0</v>
      </c>
      <c r="B2833" t="s">
        <v>16</v>
      </c>
      <c r="C2833" t="s">
        <v>77</v>
      </c>
      <c r="D2833" t="s">
        <v>2223</v>
      </c>
      <c r="E2833" t="s">
        <v>2390</v>
      </c>
      <c r="F2833" t="s">
        <v>2439</v>
      </c>
      <c r="K2833" t="s">
        <v>2569</v>
      </c>
      <c r="L2833" t="s">
        <v>2601</v>
      </c>
      <c r="M2833" t="s">
        <v>2631</v>
      </c>
    </row>
    <row r="2834" spans="1:13">
      <c r="A2834" s="1">
        <f>HYPERLINK("https://lsnyc.legalserver.org/matter/dynamic-profile/view/1841390","17-1841390")</f>
        <v>0</v>
      </c>
      <c r="B2834" t="s">
        <v>16</v>
      </c>
      <c r="C2834" t="s">
        <v>77</v>
      </c>
      <c r="D2834" t="s">
        <v>2224</v>
      </c>
      <c r="E2834" t="s">
        <v>2390</v>
      </c>
      <c r="K2834" t="s">
        <v>2569</v>
      </c>
      <c r="L2834" t="s">
        <v>2601</v>
      </c>
      <c r="M2834" t="s">
        <v>2631</v>
      </c>
    </row>
    <row r="2835" spans="1:13">
      <c r="A2835" s="1">
        <f>HYPERLINK("https://lsnyc.legalserver.org/matter/dynamic-profile/view/1839732","17-1839732")</f>
        <v>0</v>
      </c>
      <c r="B2835" t="s">
        <v>18</v>
      </c>
      <c r="C2835" t="s">
        <v>53</v>
      </c>
      <c r="D2835" t="s">
        <v>2225</v>
      </c>
      <c r="E2835" t="s">
        <v>2390</v>
      </c>
      <c r="F2835" t="s">
        <v>2440</v>
      </c>
      <c r="K2835" t="s">
        <v>2572</v>
      </c>
      <c r="L2835" t="s">
        <v>2601</v>
      </c>
      <c r="M2835" t="s">
        <v>2631</v>
      </c>
    </row>
    <row r="2836" spans="1:13">
      <c r="A2836" s="1">
        <f>HYPERLINK("https://lsnyc.legalserver.org/matter/dynamic-profile/view/1841309","17-1841309")</f>
        <v>0</v>
      </c>
      <c r="B2836" t="s">
        <v>15</v>
      </c>
      <c r="C2836" t="s">
        <v>49</v>
      </c>
      <c r="D2836" t="s">
        <v>2226</v>
      </c>
      <c r="E2836" t="s">
        <v>2390</v>
      </c>
      <c r="F2836" t="s">
        <v>2437</v>
      </c>
      <c r="I2836" t="s">
        <v>2446</v>
      </c>
      <c r="J2836" t="s">
        <v>2448</v>
      </c>
      <c r="K2836" t="s">
        <v>2569</v>
      </c>
      <c r="M2836" t="s">
        <v>2626</v>
      </c>
    </row>
    <row r="2837" spans="1:13">
      <c r="A2837" s="1">
        <f>HYPERLINK("https://lsnyc.legalserver.org/matter/dynamic-profile/view/1841138","17-1841138")</f>
        <v>0</v>
      </c>
      <c r="B2837" t="s">
        <v>16</v>
      </c>
      <c r="C2837" t="s">
        <v>23</v>
      </c>
      <c r="D2837" t="s">
        <v>2227</v>
      </c>
      <c r="E2837" t="s">
        <v>2390</v>
      </c>
      <c r="F2837" t="s">
        <v>2439</v>
      </c>
      <c r="K2837" t="s">
        <v>2569</v>
      </c>
      <c r="L2837" t="s">
        <v>2601</v>
      </c>
      <c r="M2837" t="s">
        <v>2631</v>
      </c>
    </row>
    <row r="2838" spans="1:13">
      <c r="A2838" s="1">
        <f>HYPERLINK("https://lsnyc.legalserver.org/matter/dynamic-profile/view/1840991","17-1840991")</f>
        <v>0</v>
      </c>
      <c r="B2838" t="s">
        <v>14</v>
      </c>
      <c r="C2838" t="s">
        <v>69</v>
      </c>
      <c r="D2838" t="s">
        <v>2228</v>
      </c>
      <c r="E2838" t="s">
        <v>2431</v>
      </c>
      <c r="F2838" t="s">
        <v>2439</v>
      </c>
      <c r="J2838" t="s">
        <v>2535</v>
      </c>
      <c r="K2838" t="s">
        <v>2582</v>
      </c>
      <c r="L2838" t="s">
        <v>2602</v>
      </c>
      <c r="M2838" t="s">
        <v>2631</v>
      </c>
    </row>
    <row r="2839" spans="1:13">
      <c r="A2839" s="1">
        <f>HYPERLINK("https://lsnyc.legalserver.org/matter/dynamic-profile/view/1841055","17-1841055")</f>
        <v>0</v>
      </c>
      <c r="B2839" t="s">
        <v>14</v>
      </c>
      <c r="C2839" t="s">
        <v>44</v>
      </c>
      <c r="D2839" t="s">
        <v>2148</v>
      </c>
      <c r="E2839" t="s">
        <v>2381</v>
      </c>
      <c r="F2839" t="s">
        <v>2442</v>
      </c>
      <c r="J2839" t="s">
        <v>2477</v>
      </c>
      <c r="K2839" t="s">
        <v>2569</v>
      </c>
      <c r="L2839" t="s">
        <v>2603</v>
      </c>
      <c r="M2839" t="s">
        <v>2622</v>
      </c>
    </row>
    <row r="2840" spans="1:13">
      <c r="A2840" s="1">
        <f>HYPERLINK("https://lsnyc.legalserver.org/matter/dynamic-profile/view/1840842","17-1840842")</f>
        <v>0</v>
      </c>
      <c r="B2840" t="s">
        <v>15</v>
      </c>
      <c r="C2840" t="s">
        <v>31</v>
      </c>
      <c r="D2840" t="s">
        <v>1687</v>
      </c>
      <c r="E2840" t="s">
        <v>2390</v>
      </c>
      <c r="F2840" t="s">
        <v>2437</v>
      </c>
      <c r="I2840" t="s">
        <v>2446</v>
      </c>
      <c r="J2840" t="s">
        <v>2452</v>
      </c>
      <c r="K2840" t="s">
        <v>2572</v>
      </c>
      <c r="L2840" t="s">
        <v>2604</v>
      </c>
      <c r="M2840" t="s">
        <v>2619</v>
      </c>
    </row>
    <row r="2841" spans="1:13">
      <c r="A2841" s="1">
        <f>HYPERLINK("https://lsnyc.legalserver.org/matter/dynamic-profile/view/1840705","17-1840705")</f>
        <v>0</v>
      </c>
      <c r="B2841" t="s">
        <v>14</v>
      </c>
      <c r="C2841" t="s">
        <v>43</v>
      </c>
      <c r="D2841" t="s">
        <v>2229</v>
      </c>
      <c r="E2841" t="s">
        <v>2390</v>
      </c>
      <c r="F2841" t="s">
        <v>2437</v>
      </c>
      <c r="J2841" t="s">
        <v>2448</v>
      </c>
      <c r="K2841" t="s">
        <v>2569</v>
      </c>
      <c r="L2841" t="s">
        <v>2611</v>
      </c>
      <c r="M2841" t="s">
        <v>2619</v>
      </c>
    </row>
    <row r="2842" spans="1:13">
      <c r="A2842" s="1">
        <f>HYPERLINK("https://lsnyc.legalserver.org/matter/dynamic-profile/view/1840689","17-1840689")</f>
        <v>0</v>
      </c>
      <c r="B2842" t="s">
        <v>15</v>
      </c>
      <c r="C2842" t="s">
        <v>49</v>
      </c>
      <c r="D2842" t="s">
        <v>2230</v>
      </c>
      <c r="E2842" t="s">
        <v>2390</v>
      </c>
      <c r="F2842" t="s">
        <v>2437</v>
      </c>
      <c r="I2842" t="s">
        <v>2446</v>
      </c>
      <c r="J2842" t="s">
        <v>2449</v>
      </c>
      <c r="K2842" t="s">
        <v>2569</v>
      </c>
      <c r="M2842" t="s">
        <v>2619</v>
      </c>
    </row>
    <row r="2843" spans="1:13">
      <c r="A2843" s="1">
        <f>HYPERLINK("https://lsnyc.legalserver.org/matter/dynamic-profile/view/1840344","17-1840344")</f>
        <v>0</v>
      </c>
      <c r="B2843" t="s">
        <v>14</v>
      </c>
      <c r="C2843" t="s">
        <v>20</v>
      </c>
      <c r="D2843" t="s">
        <v>582</v>
      </c>
      <c r="E2843" t="s">
        <v>2374</v>
      </c>
      <c r="F2843" t="s">
        <v>2440</v>
      </c>
      <c r="J2843" t="s">
        <v>2518</v>
      </c>
      <c r="K2843" t="s">
        <v>2572</v>
      </c>
      <c r="L2843" t="s">
        <v>2602</v>
      </c>
      <c r="M2843" t="s">
        <v>2631</v>
      </c>
    </row>
    <row r="2844" spans="1:13">
      <c r="A2844" s="1">
        <f>HYPERLINK("https://lsnyc.legalserver.org/matter/dynamic-profile/view/1840360","17-1840360")</f>
        <v>0</v>
      </c>
      <c r="B2844" t="s">
        <v>16</v>
      </c>
      <c r="C2844" t="s">
        <v>77</v>
      </c>
      <c r="D2844" t="s">
        <v>2231</v>
      </c>
      <c r="E2844" t="s">
        <v>2390</v>
      </c>
      <c r="F2844" t="s">
        <v>2439</v>
      </c>
      <c r="K2844" t="s">
        <v>2569</v>
      </c>
      <c r="L2844" t="s">
        <v>2601</v>
      </c>
      <c r="M2844" t="s">
        <v>2631</v>
      </c>
    </row>
    <row r="2845" spans="1:13">
      <c r="A2845" s="1">
        <f>HYPERLINK("https://lsnyc.legalserver.org/matter/dynamic-profile/view/1840443","17-1840443")</f>
        <v>0</v>
      </c>
      <c r="B2845" t="s">
        <v>14</v>
      </c>
      <c r="C2845" t="s">
        <v>44</v>
      </c>
      <c r="D2845" t="s">
        <v>2232</v>
      </c>
      <c r="E2845" t="s">
        <v>2434</v>
      </c>
      <c r="F2845" t="s">
        <v>2442</v>
      </c>
      <c r="J2845" t="s">
        <v>2563</v>
      </c>
      <c r="K2845" t="s">
        <v>2572</v>
      </c>
      <c r="L2845" t="s">
        <v>2603</v>
      </c>
      <c r="M2845" t="s">
        <v>2627</v>
      </c>
    </row>
    <row r="2846" spans="1:13">
      <c r="A2846" s="1">
        <f>HYPERLINK("https://lsnyc.legalserver.org/matter/dynamic-profile/view/1839168","17-1839168")</f>
        <v>0</v>
      </c>
      <c r="B2846" t="s">
        <v>17</v>
      </c>
      <c r="C2846" t="s">
        <v>56</v>
      </c>
      <c r="D2846" t="s">
        <v>2233</v>
      </c>
      <c r="E2846" t="s">
        <v>2387</v>
      </c>
      <c r="F2846" t="s">
        <v>2437</v>
      </c>
      <c r="I2846" t="s">
        <v>2446</v>
      </c>
      <c r="J2846" t="s">
        <v>2457</v>
      </c>
      <c r="K2846" t="s">
        <v>2569</v>
      </c>
      <c r="L2846" t="s">
        <v>2600</v>
      </c>
      <c r="M2846" t="s">
        <v>2629</v>
      </c>
    </row>
    <row r="2847" spans="1:13">
      <c r="A2847" s="1">
        <f>HYPERLINK("https://lsnyc.legalserver.org/matter/dynamic-profile/view/1840291","17-1840291")</f>
        <v>0</v>
      </c>
      <c r="B2847" t="s">
        <v>16</v>
      </c>
      <c r="C2847" t="s">
        <v>77</v>
      </c>
      <c r="D2847" t="s">
        <v>2234</v>
      </c>
      <c r="E2847" t="s">
        <v>2390</v>
      </c>
      <c r="F2847" t="s">
        <v>2439</v>
      </c>
      <c r="K2847" t="s">
        <v>2572</v>
      </c>
      <c r="L2847" t="s">
        <v>2601</v>
      </c>
      <c r="M2847" t="s">
        <v>2631</v>
      </c>
    </row>
    <row r="2848" spans="1:13">
      <c r="A2848" s="1">
        <f>HYPERLINK("https://lsnyc.legalserver.org/matter/dynamic-profile/view/1840182","17-1840182")</f>
        <v>0</v>
      </c>
      <c r="B2848" t="s">
        <v>14</v>
      </c>
      <c r="C2848" t="s">
        <v>43</v>
      </c>
      <c r="D2848" t="s">
        <v>2235</v>
      </c>
      <c r="E2848" t="s">
        <v>2381</v>
      </c>
      <c r="F2848" t="s">
        <v>2437</v>
      </c>
      <c r="J2848" t="s">
        <v>2449</v>
      </c>
      <c r="K2848" t="s">
        <v>2569</v>
      </c>
      <c r="L2848" t="s">
        <v>2603</v>
      </c>
      <c r="M2848" t="s">
        <v>2622</v>
      </c>
    </row>
    <row r="2849" spans="1:14">
      <c r="A2849" s="1">
        <f>HYPERLINK("https://lsnyc.legalserver.org/matter/dynamic-profile/view/1840248","17-1840248")</f>
        <v>0</v>
      </c>
      <c r="B2849" t="s">
        <v>16</v>
      </c>
      <c r="C2849" t="s">
        <v>23</v>
      </c>
      <c r="D2849" t="s">
        <v>2236</v>
      </c>
      <c r="E2849" t="s">
        <v>2390</v>
      </c>
      <c r="F2849" t="s">
        <v>2439</v>
      </c>
      <c r="I2849" t="s">
        <v>2446</v>
      </c>
      <c r="J2849" t="s">
        <v>2448</v>
      </c>
      <c r="K2849" t="s">
        <v>2569</v>
      </c>
      <c r="L2849" t="s">
        <v>2601</v>
      </c>
      <c r="M2849" t="s">
        <v>2631</v>
      </c>
    </row>
    <row r="2850" spans="1:14">
      <c r="A2850" s="1">
        <f>HYPERLINK("https://lsnyc.legalserver.org/matter/dynamic-profile/view/1840274","17-1840274")</f>
        <v>0</v>
      </c>
      <c r="B2850" t="s">
        <v>16</v>
      </c>
      <c r="C2850" t="s">
        <v>23</v>
      </c>
      <c r="D2850" t="s">
        <v>2237</v>
      </c>
      <c r="E2850" t="s">
        <v>2390</v>
      </c>
      <c r="F2850" t="s">
        <v>2437</v>
      </c>
      <c r="I2850" t="s">
        <v>2446</v>
      </c>
      <c r="J2850" t="s">
        <v>2448</v>
      </c>
      <c r="K2850" t="s">
        <v>2569</v>
      </c>
      <c r="M2850" t="s">
        <v>2619</v>
      </c>
    </row>
    <row r="2851" spans="1:14">
      <c r="A2851" s="1">
        <f>HYPERLINK("https://lsnyc.legalserver.org/matter/dynamic-profile/view/1840000","17-1840000")</f>
        <v>0</v>
      </c>
      <c r="B2851" t="s">
        <v>16</v>
      </c>
      <c r="C2851" t="s">
        <v>77</v>
      </c>
      <c r="D2851" t="s">
        <v>2238</v>
      </c>
      <c r="E2851" t="s">
        <v>2390</v>
      </c>
      <c r="F2851" t="s">
        <v>2439</v>
      </c>
      <c r="K2851" t="s">
        <v>2572</v>
      </c>
      <c r="L2851" t="s">
        <v>2601</v>
      </c>
      <c r="M2851" t="s">
        <v>2631</v>
      </c>
    </row>
    <row r="2852" spans="1:14">
      <c r="A2852" s="1">
        <f>HYPERLINK("https://lsnyc.legalserver.org/matter/dynamic-profile/view/1839963","17-1839963")</f>
        <v>0</v>
      </c>
      <c r="B2852" t="s">
        <v>16</v>
      </c>
      <c r="C2852" t="s">
        <v>23</v>
      </c>
      <c r="D2852" t="s">
        <v>2239</v>
      </c>
      <c r="E2852" t="s">
        <v>2390</v>
      </c>
      <c r="F2852" t="s">
        <v>2437</v>
      </c>
      <c r="I2852" t="s">
        <v>2446</v>
      </c>
      <c r="J2852" t="s">
        <v>2457</v>
      </c>
      <c r="K2852" t="s">
        <v>2569</v>
      </c>
      <c r="M2852" t="s">
        <v>2619</v>
      </c>
    </row>
    <row r="2853" spans="1:14">
      <c r="A2853" s="1">
        <f>HYPERLINK("https://lsnyc.legalserver.org/matter/dynamic-profile/view/1839996","17-1839996")</f>
        <v>0</v>
      </c>
      <c r="B2853" t="s">
        <v>14</v>
      </c>
      <c r="C2853" t="s">
        <v>33</v>
      </c>
      <c r="D2853" t="s">
        <v>2240</v>
      </c>
      <c r="E2853" t="s">
        <v>2387</v>
      </c>
      <c r="F2853" t="s">
        <v>2437</v>
      </c>
      <c r="I2853" t="s">
        <v>2446</v>
      </c>
      <c r="J2853" t="s">
        <v>2457</v>
      </c>
      <c r="K2853" t="s">
        <v>2569</v>
      </c>
      <c r="M2853" t="s">
        <v>2629</v>
      </c>
    </row>
    <row r="2854" spans="1:14">
      <c r="A2854" s="1">
        <f>HYPERLINK("https://lsnyc.legalserver.org/matter/dynamic-profile/view/1840039","17-1840039")</f>
        <v>0</v>
      </c>
      <c r="B2854" t="s">
        <v>16</v>
      </c>
      <c r="C2854" t="s">
        <v>46</v>
      </c>
      <c r="D2854" t="s">
        <v>1067</v>
      </c>
      <c r="E2854" t="s">
        <v>2390</v>
      </c>
      <c r="F2854" t="s">
        <v>2437</v>
      </c>
      <c r="I2854" t="s">
        <v>2446</v>
      </c>
      <c r="J2854" t="s">
        <v>2467</v>
      </c>
      <c r="K2854" t="s">
        <v>2572</v>
      </c>
      <c r="L2854" t="s">
        <v>2600</v>
      </c>
      <c r="M2854" t="s">
        <v>2619</v>
      </c>
    </row>
    <row r="2855" spans="1:14">
      <c r="A2855" s="1">
        <f>HYPERLINK("https://lsnyc.legalserver.org/matter/dynamic-profile/view/1839894","17-1839894")</f>
        <v>0</v>
      </c>
      <c r="B2855" t="s">
        <v>15</v>
      </c>
      <c r="C2855" t="s">
        <v>37</v>
      </c>
      <c r="D2855" t="s">
        <v>1516</v>
      </c>
      <c r="E2855" t="s">
        <v>2376</v>
      </c>
      <c r="F2855" t="s">
        <v>2437</v>
      </c>
      <c r="K2855" t="s">
        <v>2569</v>
      </c>
      <c r="L2855" t="s">
        <v>2604</v>
      </c>
      <c r="M2855" t="s">
        <v>2618</v>
      </c>
    </row>
    <row r="2856" spans="1:14">
      <c r="A2856" s="1">
        <f>HYPERLINK("https://lsnyc.legalserver.org/matter/dynamic-profile/view/1835248","17-1835248")</f>
        <v>0</v>
      </c>
      <c r="B2856" t="s">
        <v>14</v>
      </c>
      <c r="C2856" t="s">
        <v>43</v>
      </c>
      <c r="D2856" t="s">
        <v>2241</v>
      </c>
      <c r="E2856" t="s">
        <v>2383</v>
      </c>
      <c r="F2856" t="s">
        <v>2440</v>
      </c>
      <c r="I2856" t="s">
        <v>2446</v>
      </c>
      <c r="J2856" t="s">
        <v>2450</v>
      </c>
      <c r="K2856" t="s">
        <v>2569</v>
      </c>
      <c r="L2856" t="s">
        <v>2601</v>
      </c>
      <c r="M2856" t="s">
        <v>2631</v>
      </c>
    </row>
    <row r="2857" spans="1:14">
      <c r="A2857" s="1">
        <f>HYPERLINK("https://lsnyc.legalserver.org/matter/dynamic-profile/view/1854111","17-1854111")</f>
        <v>0</v>
      </c>
      <c r="B2857" t="s">
        <v>14</v>
      </c>
      <c r="C2857" t="s">
        <v>69</v>
      </c>
      <c r="D2857" t="s">
        <v>2242</v>
      </c>
      <c r="E2857" t="s">
        <v>2391</v>
      </c>
      <c r="F2857" t="s">
        <v>2437</v>
      </c>
      <c r="J2857" t="s">
        <v>2450</v>
      </c>
      <c r="K2857" t="s">
        <v>2569</v>
      </c>
      <c r="L2857" t="s">
        <v>2605</v>
      </c>
      <c r="M2857" t="s">
        <v>2615</v>
      </c>
    </row>
    <row r="2858" spans="1:14">
      <c r="A2858" s="1">
        <f>HYPERLINK("https://lsnyc.legalserver.org/matter/dynamic-profile/view/1839620","17-1839620")</f>
        <v>0</v>
      </c>
      <c r="B2858" t="s">
        <v>14</v>
      </c>
      <c r="C2858" t="s">
        <v>44</v>
      </c>
      <c r="D2858" t="s">
        <v>2243</v>
      </c>
      <c r="E2858" t="s">
        <v>2378</v>
      </c>
      <c r="F2858" t="s">
        <v>2442</v>
      </c>
      <c r="I2858" t="s">
        <v>2446</v>
      </c>
      <c r="J2858" t="s">
        <v>2448</v>
      </c>
      <c r="K2858" t="s">
        <v>2572</v>
      </c>
      <c r="L2858" t="s">
        <v>2600</v>
      </c>
      <c r="M2858" t="s">
        <v>2619</v>
      </c>
    </row>
    <row r="2859" spans="1:14">
      <c r="A2859" s="1">
        <f>HYPERLINK("https://lsnyc.legalserver.org/matter/dynamic-profile/view/1839621","17-1839621")</f>
        <v>0</v>
      </c>
      <c r="B2859" t="s">
        <v>15</v>
      </c>
      <c r="C2859" t="s">
        <v>49</v>
      </c>
      <c r="D2859" t="s">
        <v>2244</v>
      </c>
      <c r="E2859" t="s">
        <v>2390</v>
      </c>
      <c r="F2859" t="s">
        <v>2437</v>
      </c>
      <c r="I2859" t="s">
        <v>2446</v>
      </c>
      <c r="J2859" t="s">
        <v>2458</v>
      </c>
      <c r="K2859" t="s">
        <v>2569</v>
      </c>
      <c r="M2859" t="s">
        <v>2619</v>
      </c>
    </row>
    <row r="2860" spans="1:14">
      <c r="A2860" s="1">
        <f>HYPERLINK("https://lsnyc.legalserver.org/matter/dynamic-profile/view/1839495","17-1839495")</f>
        <v>0</v>
      </c>
      <c r="B2860" t="s">
        <v>14</v>
      </c>
      <c r="C2860" t="s">
        <v>43</v>
      </c>
      <c r="D2860" t="s">
        <v>2245</v>
      </c>
      <c r="E2860" t="s">
        <v>2380</v>
      </c>
      <c r="F2860" t="s">
        <v>2439</v>
      </c>
      <c r="J2860" t="s">
        <v>2504</v>
      </c>
      <c r="K2860" t="s">
        <v>2572</v>
      </c>
      <c r="L2860" t="s">
        <v>2602</v>
      </c>
      <c r="M2860" t="s">
        <v>2631</v>
      </c>
    </row>
    <row r="2861" spans="1:14">
      <c r="A2861" s="1">
        <f>HYPERLINK("https://lsnyc.legalserver.org/matter/dynamic-profile/view/1839341","17-1839341")</f>
        <v>0</v>
      </c>
      <c r="B2861" t="s">
        <v>16</v>
      </c>
      <c r="C2861" t="s">
        <v>77</v>
      </c>
      <c r="D2861" t="s">
        <v>2246</v>
      </c>
      <c r="E2861" t="s">
        <v>2390</v>
      </c>
      <c r="F2861" t="s">
        <v>2439</v>
      </c>
      <c r="K2861" t="s">
        <v>2569</v>
      </c>
      <c r="L2861" t="s">
        <v>2601</v>
      </c>
      <c r="M2861" t="s">
        <v>2631</v>
      </c>
    </row>
    <row r="2862" spans="1:14">
      <c r="A2862" s="1">
        <f>HYPERLINK("https://lsnyc.legalserver.org/matter/dynamic-profile/view/1839370","17-1839370")</f>
        <v>0</v>
      </c>
      <c r="B2862" t="s">
        <v>15</v>
      </c>
      <c r="C2862" t="s">
        <v>31</v>
      </c>
      <c r="D2862" t="s">
        <v>2247</v>
      </c>
      <c r="E2862" t="s">
        <v>2371</v>
      </c>
      <c r="F2862" t="s">
        <v>2440</v>
      </c>
      <c r="J2862" t="s">
        <v>2447</v>
      </c>
      <c r="K2862" t="s">
        <v>2569</v>
      </c>
      <c r="M2862" t="s">
        <v>2636</v>
      </c>
    </row>
    <row r="2863" spans="1:14">
      <c r="A2863" s="1">
        <f>HYPERLINK("https://lsnyc.legalserver.org/matter/dynamic-profile/view/1839379","17-1839379")</f>
        <v>0</v>
      </c>
      <c r="B2863" t="s">
        <v>16</v>
      </c>
      <c r="C2863" t="s">
        <v>23</v>
      </c>
      <c r="D2863" t="s">
        <v>2248</v>
      </c>
      <c r="E2863" t="s">
        <v>2390</v>
      </c>
      <c r="F2863" t="s">
        <v>2437</v>
      </c>
      <c r="J2863" t="s">
        <v>2516</v>
      </c>
      <c r="K2863" t="s">
        <v>2572</v>
      </c>
      <c r="M2863" t="s">
        <v>2619</v>
      </c>
    </row>
    <row r="2864" spans="1:14">
      <c r="A2864" s="1">
        <f>HYPERLINK("https://lsnyc.legalserver.org/matter/dynamic-profile/view/1839286","17-1839286")</f>
        <v>0</v>
      </c>
      <c r="B2864" t="s">
        <v>15</v>
      </c>
      <c r="C2864" t="s">
        <v>32</v>
      </c>
      <c r="D2864" t="s">
        <v>1874</v>
      </c>
      <c r="E2864" t="s">
        <v>2386</v>
      </c>
      <c r="F2864" t="s">
        <v>2437</v>
      </c>
      <c r="J2864" t="s">
        <v>2455</v>
      </c>
      <c r="K2864" t="s">
        <v>2572</v>
      </c>
      <c r="L2864" t="s">
        <v>2600</v>
      </c>
      <c r="M2864" t="s">
        <v>2627</v>
      </c>
      <c r="N2864" t="s">
        <v>2648</v>
      </c>
    </row>
    <row r="2865" spans="1:13">
      <c r="A2865" s="1">
        <f>HYPERLINK("https://lsnyc.legalserver.org/matter/dynamic-profile/view/1839087","17-1839087")</f>
        <v>0</v>
      </c>
      <c r="B2865" t="s">
        <v>16</v>
      </c>
      <c r="C2865" t="s">
        <v>23</v>
      </c>
      <c r="D2865" t="s">
        <v>2249</v>
      </c>
      <c r="E2865" t="s">
        <v>2390</v>
      </c>
      <c r="F2865" t="s">
        <v>2439</v>
      </c>
      <c r="I2865" t="s">
        <v>2446</v>
      </c>
      <c r="J2865" t="s">
        <v>2448</v>
      </c>
      <c r="K2865" t="s">
        <v>2569</v>
      </c>
      <c r="L2865" t="s">
        <v>2601</v>
      </c>
      <c r="M2865" t="s">
        <v>2631</v>
      </c>
    </row>
    <row r="2866" spans="1:13">
      <c r="A2866" s="1">
        <f>HYPERLINK("https://lsnyc.legalserver.org/matter/dynamic-profile/view/1838842","17-1838842")</f>
        <v>0</v>
      </c>
      <c r="B2866" t="s">
        <v>15</v>
      </c>
      <c r="C2866" t="s">
        <v>49</v>
      </c>
      <c r="D2866" t="s">
        <v>2250</v>
      </c>
      <c r="E2866" t="s">
        <v>2390</v>
      </c>
      <c r="F2866" t="s">
        <v>2437</v>
      </c>
      <c r="I2866" t="s">
        <v>2446</v>
      </c>
      <c r="J2866" t="s">
        <v>2455</v>
      </c>
      <c r="K2866" t="s">
        <v>2569</v>
      </c>
      <c r="L2866" t="s">
        <v>2604</v>
      </c>
      <c r="M2866" t="s">
        <v>2619</v>
      </c>
    </row>
    <row r="2867" spans="1:13">
      <c r="A2867" s="1">
        <f>HYPERLINK("https://lsnyc.legalserver.org/matter/dynamic-profile/view/1838858","17-1838858")</f>
        <v>0</v>
      </c>
      <c r="B2867" t="s">
        <v>16</v>
      </c>
      <c r="C2867" t="s">
        <v>23</v>
      </c>
      <c r="D2867" t="s">
        <v>2251</v>
      </c>
      <c r="E2867" t="s">
        <v>2390</v>
      </c>
      <c r="F2867" t="s">
        <v>2437</v>
      </c>
      <c r="I2867" t="s">
        <v>2446</v>
      </c>
      <c r="J2867" t="s">
        <v>2448</v>
      </c>
      <c r="K2867" t="s">
        <v>2569</v>
      </c>
      <c r="L2867" t="s">
        <v>2604</v>
      </c>
      <c r="M2867" t="s">
        <v>2619</v>
      </c>
    </row>
    <row r="2868" spans="1:13">
      <c r="A2868" s="1">
        <f>HYPERLINK("https://lsnyc.legalserver.org/matter/dynamic-profile/view/1839089","17-1839089")</f>
        <v>0</v>
      </c>
      <c r="B2868" t="s">
        <v>17</v>
      </c>
      <c r="C2868" t="s">
        <v>28</v>
      </c>
      <c r="D2868" t="s">
        <v>99</v>
      </c>
      <c r="E2868" t="s">
        <v>2375</v>
      </c>
      <c r="F2868" t="s">
        <v>2437</v>
      </c>
      <c r="L2868" t="s">
        <v>2600</v>
      </c>
      <c r="M2868" t="s">
        <v>2617</v>
      </c>
    </row>
    <row r="2869" spans="1:13">
      <c r="A2869" s="1">
        <f>HYPERLINK("https://lsnyc.legalserver.org/matter/dynamic-profile/view/1838717","17-1838717")</f>
        <v>0</v>
      </c>
      <c r="B2869" t="s">
        <v>15</v>
      </c>
      <c r="C2869" t="s">
        <v>49</v>
      </c>
      <c r="D2869" t="s">
        <v>2252</v>
      </c>
      <c r="E2869" t="s">
        <v>2390</v>
      </c>
      <c r="F2869" t="s">
        <v>2437</v>
      </c>
      <c r="I2869" t="s">
        <v>2446</v>
      </c>
      <c r="J2869" t="s">
        <v>2467</v>
      </c>
      <c r="K2869" t="s">
        <v>2572</v>
      </c>
      <c r="M2869" t="s">
        <v>2619</v>
      </c>
    </row>
    <row r="2870" spans="1:13">
      <c r="A2870" s="1">
        <f>HYPERLINK("https://lsnyc.legalserver.org/matter/dynamic-profile/view/1838730","17-1838730")</f>
        <v>0</v>
      </c>
      <c r="B2870" t="s">
        <v>16</v>
      </c>
      <c r="C2870" t="s">
        <v>23</v>
      </c>
      <c r="D2870" t="s">
        <v>2253</v>
      </c>
      <c r="E2870" t="s">
        <v>2390</v>
      </c>
      <c r="F2870" t="s">
        <v>2437</v>
      </c>
      <c r="I2870" t="s">
        <v>2446</v>
      </c>
      <c r="J2870" t="s">
        <v>2448</v>
      </c>
      <c r="K2870" t="s">
        <v>2569</v>
      </c>
      <c r="M2870" t="s">
        <v>2619</v>
      </c>
    </row>
    <row r="2871" spans="1:13">
      <c r="A2871" s="1">
        <f>HYPERLINK("https://lsnyc.legalserver.org/matter/dynamic-profile/view/1838637","17-1838637")</f>
        <v>0</v>
      </c>
      <c r="B2871" t="s">
        <v>16</v>
      </c>
      <c r="C2871" t="s">
        <v>77</v>
      </c>
      <c r="D2871" t="s">
        <v>2254</v>
      </c>
      <c r="E2871" t="s">
        <v>2390</v>
      </c>
      <c r="F2871" t="s">
        <v>2439</v>
      </c>
      <c r="K2871" t="s">
        <v>2572</v>
      </c>
      <c r="L2871" t="s">
        <v>2601</v>
      </c>
      <c r="M2871" t="s">
        <v>2631</v>
      </c>
    </row>
    <row r="2872" spans="1:13">
      <c r="A2872" s="1">
        <f>HYPERLINK("https://lsnyc.legalserver.org/matter/dynamic-profile/view/1838600","17-1838600")</f>
        <v>0</v>
      </c>
      <c r="B2872" t="s">
        <v>16</v>
      </c>
      <c r="C2872" t="s">
        <v>77</v>
      </c>
      <c r="D2872" t="s">
        <v>2255</v>
      </c>
      <c r="E2872" t="s">
        <v>2390</v>
      </c>
      <c r="F2872" t="s">
        <v>2436</v>
      </c>
      <c r="K2872" t="s">
        <v>2569</v>
      </c>
      <c r="L2872" t="s">
        <v>2601</v>
      </c>
      <c r="M2872" t="s">
        <v>2631</v>
      </c>
    </row>
    <row r="2873" spans="1:13">
      <c r="A2873" s="1">
        <f>HYPERLINK("https://lsnyc.legalserver.org/matter/dynamic-profile/view/1838558","17-1838558")</f>
        <v>0</v>
      </c>
      <c r="B2873" t="s">
        <v>15</v>
      </c>
      <c r="C2873" t="s">
        <v>73</v>
      </c>
      <c r="D2873" t="s">
        <v>199</v>
      </c>
      <c r="E2873" t="s">
        <v>2390</v>
      </c>
      <c r="F2873" t="s">
        <v>2439</v>
      </c>
      <c r="J2873" t="s">
        <v>2447</v>
      </c>
      <c r="K2873" t="s">
        <v>2569</v>
      </c>
      <c r="L2873" t="s">
        <v>2601</v>
      </c>
      <c r="M2873" t="s">
        <v>2631</v>
      </c>
    </row>
    <row r="2874" spans="1:13">
      <c r="A2874" s="1">
        <f>HYPERLINK("https://lsnyc.legalserver.org/matter/dynamic-profile/view/1838001","17-1838001")</f>
        <v>0</v>
      </c>
      <c r="B2874" t="s">
        <v>16</v>
      </c>
      <c r="C2874" t="s">
        <v>46</v>
      </c>
      <c r="D2874" t="s">
        <v>596</v>
      </c>
      <c r="E2874" t="s">
        <v>2408</v>
      </c>
      <c r="F2874" t="s">
        <v>2437</v>
      </c>
      <c r="I2874" t="s">
        <v>2446</v>
      </c>
      <c r="J2874" t="s">
        <v>2467</v>
      </c>
      <c r="K2874" t="s">
        <v>2572</v>
      </c>
      <c r="L2874" t="s">
        <v>2601</v>
      </c>
      <c r="M2874" t="s">
        <v>2631</v>
      </c>
    </row>
    <row r="2875" spans="1:13">
      <c r="A2875" s="1">
        <f>HYPERLINK("https://lsnyc.legalserver.org/matter/dynamic-profile/view/1837877","17-1837877")</f>
        <v>0</v>
      </c>
      <c r="B2875" t="s">
        <v>16</v>
      </c>
      <c r="C2875" t="s">
        <v>77</v>
      </c>
      <c r="D2875" t="s">
        <v>2256</v>
      </c>
      <c r="E2875" t="s">
        <v>2390</v>
      </c>
      <c r="F2875" t="s">
        <v>2436</v>
      </c>
      <c r="K2875" t="s">
        <v>2569</v>
      </c>
      <c r="L2875" t="s">
        <v>2601</v>
      </c>
      <c r="M2875" t="s">
        <v>2631</v>
      </c>
    </row>
    <row r="2876" spans="1:13">
      <c r="A2876" s="1">
        <f>HYPERLINK("https://lsnyc.legalserver.org/matter/dynamic-profile/view/1833436","17-1833436")</f>
        <v>0</v>
      </c>
      <c r="B2876" t="s">
        <v>17</v>
      </c>
      <c r="C2876" t="s">
        <v>28</v>
      </c>
      <c r="D2876" t="s">
        <v>2257</v>
      </c>
      <c r="E2876" t="s">
        <v>2387</v>
      </c>
      <c r="F2876" t="s">
        <v>2437</v>
      </c>
      <c r="J2876" t="s">
        <v>2450</v>
      </c>
      <c r="K2876" t="s">
        <v>2569</v>
      </c>
      <c r="L2876" t="s">
        <v>2604</v>
      </c>
      <c r="M2876" t="s">
        <v>2629</v>
      </c>
    </row>
    <row r="2877" spans="1:13">
      <c r="A2877" s="1">
        <f>HYPERLINK("https://lsnyc.legalserver.org/matter/dynamic-profile/view/1837882","17-1837882")</f>
        <v>0</v>
      </c>
      <c r="B2877" t="s">
        <v>15</v>
      </c>
      <c r="C2877" t="s">
        <v>49</v>
      </c>
      <c r="D2877" t="s">
        <v>2258</v>
      </c>
      <c r="E2877" t="s">
        <v>2390</v>
      </c>
      <c r="F2877" t="s">
        <v>2437</v>
      </c>
      <c r="I2877" t="s">
        <v>2446</v>
      </c>
      <c r="J2877" t="s">
        <v>2465</v>
      </c>
      <c r="L2877" t="s">
        <v>2600</v>
      </c>
      <c r="M2877" t="s">
        <v>2619</v>
      </c>
    </row>
    <row r="2878" spans="1:13">
      <c r="A2878" s="1">
        <f>HYPERLINK("https://lsnyc.legalserver.org/matter/dynamic-profile/view/1837898","17-1837898")</f>
        <v>0</v>
      </c>
      <c r="B2878" t="s">
        <v>14</v>
      </c>
      <c r="C2878" t="s">
        <v>43</v>
      </c>
      <c r="D2878" t="s">
        <v>2259</v>
      </c>
      <c r="E2878" t="s">
        <v>2425</v>
      </c>
      <c r="F2878" t="s">
        <v>2437</v>
      </c>
      <c r="I2878" t="s">
        <v>2446</v>
      </c>
      <c r="J2878" t="s">
        <v>2457</v>
      </c>
      <c r="K2878" t="s">
        <v>2569</v>
      </c>
      <c r="L2878" t="s">
        <v>2603</v>
      </c>
      <c r="M2878" t="s">
        <v>2632</v>
      </c>
    </row>
    <row r="2879" spans="1:13">
      <c r="A2879" s="1">
        <f>HYPERLINK("https://lsnyc.legalserver.org/matter/dynamic-profile/view/1837744","17-1837744")</f>
        <v>0</v>
      </c>
      <c r="B2879" t="s">
        <v>14</v>
      </c>
      <c r="C2879" t="s">
        <v>20</v>
      </c>
      <c r="D2879" t="s">
        <v>2260</v>
      </c>
      <c r="E2879" t="s">
        <v>2387</v>
      </c>
      <c r="F2879" t="s">
        <v>2439</v>
      </c>
      <c r="I2879" t="s">
        <v>2446</v>
      </c>
      <c r="J2879" t="s">
        <v>2457</v>
      </c>
      <c r="K2879" t="s">
        <v>2569</v>
      </c>
      <c r="L2879" t="s">
        <v>2602</v>
      </c>
      <c r="M2879" t="s">
        <v>2641</v>
      </c>
    </row>
    <row r="2880" spans="1:13">
      <c r="A2880" s="1">
        <f>HYPERLINK("https://lsnyc.legalserver.org/matter/dynamic-profile/view/1837667","17-1837667")</f>
        <v>0</v>
      </c>
      <c r="B2880" t="s">
        <v>19</v>
      </c>
      <c r="C2880" t="s">
        <v>54</v>
      </c>
      <c r="D2880" t="s">
        <v>2261</v>
      </c>
      <c r="E2880" t="s">
        <v>2374</v>
      </c>
      <c r="F2880" t="s">
        <v>2438</v>
      </c>
      <c r="I2880" t="s">
        <v>2446</v>
      </c>
      <c r="J2880" t="s">
        <v>2564</v>
      </c>
      <c r="K2880" t="s">
        <v>2579</v>
      </c>
      <c r="M2880" t="s">
        <v>2616</v>
      </c>
    </row>
    <row r="2881" spans="1:13">
      <c r="A2881" s="1">
        <f>HYPERLINK("https://lsnyc.legalserver.org/matter/dynamic-profile/view/1837579","17-1837579")</f>
        <v>0</v>
      </c>
      <c r="B2881" t="s">
        <v>16</v>
      </c>
      <c r="C2881" t="s">
        <v>77</v>
      </c>
      <c r="D2881" t="s">
        <v>2262</v>
      </c>
      <c r="E2881" t="s">
        <v>2390</v>
      </c>
      <c r="F2881" t="s">
        <v>2436</v>
      </c>
      <c r="K2881" t="s">
        <v>2569</v>
      </c>
      <c r="L2881" t="s">
        <v>2601</v>
      </c>
      <c r="M2881" t="s">
        <v>2631</v>
      </c>
    </row>
    <row r="2882" spans="1:13">
      <c r="A2882" s="1">
        <f>HYPERLINK("https://lsnyc.legalserver.org/matter/dynamic-profile/view/1837524","17-1837524")</f>
        <v>0</v>
      </c>
      <c r="B2882" t="s">
        <v>16</v>
      </c>
      <c r="C2882" t="s">
        <v>77</v>
      </c>
      <c r="D2882" t="s">
        <v>2263</v>
      </c>
      <c r="E2882" t="s">
        <v>2390</v>
      </c>
      <c r="F2882" t="s">
        <v>2436</v>
      </c>
      <c r="K2882" t="s">
        <v>2572</v>
      </c>
      <c r="L2882" t="s">
        <v>2601</v>
      </c>
      <c r="M2882" t="s">
        <v>2631</v>
      </c>
    </row>
    <row r="2883" spans="1:13">
      <c r="A2883" s="1">
        <f>HYPERLINK("https://lsnyc.legalserver.org/matter/dynamic-profile/view/1837504","17-1837504")</f>
        <v>0</v>
      </c>
      <c r="B2883" t="s">
        <v>14</v>
      </c>
      <c r="C2883" t="s">
        <v>73</v>
      </c>
      <c r="D2883" t="s">
        <v>2264</v>
      </c>
      <c r="E2883" t="s">
        <v>2390</v>
      </c>
      <c r="F2883" t="s">
        <v>2437</v>
      </c>
      <c r="I2883" t="s">
        <v>2446</v>
      </c>
      <c r="J2883" t="s">
        <v>2565</v>
      </c>
      <c r="K2883" t="s">
        <v>2597</v>
      </c>
      <c r="L2883" t="s">
        <v>2600</v>
      </c>
      <c r="M2883" t="s">
        <v>2619</v>
      </c>
    </row>
    <row r="2884" spans="1:13">
      <c r="A2884" s="1">
        <f>HYPERLINK("https://lsnyc.legalserver.org/matter/dynamic-profile/view/1837539","17-1837539")</f>
        <v>0</v>
      </c>
      <c r="B2884" t="s">
        <v>19</v>
      </c>
      <c r="C2884" t="s">
        <v>50</v>
      </c>
      <c r="D2884" t="s">
        <v>2265</v>
      </c>
      <c r="E2884" t="s">
        <v>2375</v>
      </c>
      <c r="F2884" t="s">
        <v>2437</v>
      </c>
      <c r="I2884" t="s">
        <v>2446</v>
      </c>
      <c r="J2884" t="s">
        <v>2566</v>
      </c>
      <c r="K2884" t="s">
        <v>2572</v>
      </c>
      <c r="L2884" t="s">
        <v>2600</v>
      </c>
      <c r="M2884" t="s">
        <v>2617</v>
      </c>
    </row>
    <row r="2885" spans="1:13">
      <c r="A2885" s="1">
        <f>HYPERLINK("https://lsnyc.legalserver.org/matter/dynamic-profile/view/1837391","17-1837391")</f>
        <v>0</v>
      </c>
      <c r="B2885" t="s">
        <v>16</v>
      </c>
      <c r="C2885" t="s">
        <v>23</v>
      </c>
      <c r="D2885" t="s">
        <v>2266</v>
      </c>
      <c r="E2885" t="s">
        <v>2390</v>
      </c>
      <c r="F2885" t="s">
        <v>2439</v>
      </c>
      <c r="I2885" t="s">
        <v>2446</v>
      </c>
      <c r="J2885" t="s">
        <v>2448</v>
      </c>
      <c r="K2885" t="s">
        <v>2569</v>
      </c>
      <c r="L2885" t="s">
        <v>2601</v>
      </c>
      <c r="M2885" t="s">
        <v>2631</v>
      </c>
    </row>
    <row r="2886" spans="1:13">
      <c r="A2886" s="1">
        <f>HYPERLINK("https://lsnyc.legalserver.org/matter/dynamic-profile/view/1837358","17-1837358")</f>
        <v>0</v>
      </c>
      <c r="B2886" t="s">
        <v>16</v>
      </c>
      <c r="C2886" t="s">
        <v>23</v>
      </c>
      <c r="D2886" t="s">
        <v>2267</v>
      </c>
      <c r="E2886" t="s">
        <v>2390</v>
      </c>
      <c r="F2886" t="s">
        <v>2439</v>
      </c>
      <c r="I2886" t="s">
        <v>2446</v>
      </c>
      <c r="J2886" t="s">
        <v>2518</v>
      </c>
      <c r="K2886" t="s">
        <v>2572</v>
      </c>
      <c r="L2886" t="s">
        <v>2601</v>
      </c>
      <c r="M2886" t="s">
        <v>2631</v>
      </c>
    </row>
    <row r="2887" spans="1:13">
      <c r="A2887" s="1">
        <f>HYPERLINK("https://lsnyc.legalserver.org/matter/dynamic-profile/view/0831905","17-0831905")</f>
        <v>0</v>
      </c>
      <c r="B2887" t="s">
        <v>17</v>
      </c>
      <c r="C2887" t="s">
        <v>28</v>
      </c>
      <c r="D2887" t="s">
        <v>2268</v>
      </c>
      <c r="E2887" t="s">
        <v>2405</v>
      </c>
      <c r="F2887" t="s">
        <v>2437</v>
      </c>
      <c r="I2887" t="s">
        <v>2446</v>
      </c>
      <c r="J2887" t="s">
        <v>2450</v>
      </c>
      <c r="K2887" t="s">
        <v>2569</v>
      </c>
      <c r="L2887" t="s">
        <v>2600</v>
      </c>
      <c r="M2887" t="s">
        <v>2613</v>
      </c>
    </row>
    <row r="2888" spans="1:13">
      <c r="A2888" s="1">
        <f>HYPERLINK("https://lsnyc.legalserver.org/matter/dynamic-profile/view/1837140","17-1837140")</f>
        <v>0</v>
      </c>
      <c r="B2888" t="s">
        <v>19</v>
      </c>
      <c r="C2888" t="s">
        <v>54</v>
      </c>
      <c r="D2888" t="s">
        <v>2269</v>
      </c>
      <c r="E2888" t="s">
        <v>2374</v>
      </c>
      <c r="F2888" t="s">
        <v>2438</v>
      </c>
      <c r="I2888" t="s">
        <v>2446</v>
      </c>
      <c r="J2888" t="s">
        <v>2465</v>
      </c>
      <c r="K2888" t="s">
        <v>2569</v>
      </c>
      <c r="L2888" t="s">
        <v>2601</v>
      </c>
      <c r="M2888" t="s">
        <v>2631</v>
      </c>
    </row>
    <row r="2889" spans="1:13">
      <c r="A2889" s="1">
        <f>HYPERLINK("https://lsnyc.legalserver.org/matter/dynamic-profile/view/1837006","17-1837006")</f>
        <v>0</v>
      </c>
      <c r="B2889" t="s">
        <v>14</v>
      </c>
      <c r="C2889" t="s">
        <v>21</v>
      </c>
      <c r="D2889" t="s">
        <v>2270</v>
      </c>
      <c r="E2889" t="s">
        <v>2379</v>
      </c>
      <c r="F2889" t="s">
        <v>2437</v>
      </c>
      <c r="I2889" t="s">
        <v>2446</v>
      </c>
      <c r="J2889" t="s">
        <v>2448</v>
      </c>
      <c r="K2889" t="s">
        <v>2569</v>
      </c>
      <c r="L2889" t="s">
        <v>2600</v>
      </c>
      <c r="M2889" t="s">
        <v>2620</v>
      </c>
    </row>
    <row r="2890" spans="1:13">
      <c r="A2890" s="1">
        <f>HYPERLINK("https://lsnyc.legalserver.org/matter/dynamic-profile/view/1836905","17-1836905")</f>
        <v>0</v>
      </c>
      <c r="B2890" t="s">
        <v>19</v>
      </c>
      <c r="C2890" t="s">
        <v>54</v>
      </c>
      <c r="D2890" t="s">
        <v>2271</v>
      </c>
      <c r="E2890" t="s">
        <v>2374</v>
      </c>
      <c r="F2890" t="s">
        <v>2438</v>
      </c>
      <c r="I2890" t="s">
        <v>2446</v>
      </c>
      <c r="J2890" t="s">
        <v>2483</v>
      </c>
      <c r="K2890" t="s">
        <v>2572</v>
      </c>
      <c r="L2890" t="s">
        <v>2601</v>
      </c>
      <c r="M2890" t="s">
        <v>2631</v>
      </c>
    </row>
    <row r="2891" spans="1:13">
      <c r="A2891" s="1">
        <f>HYPERLINK("https://lsnyc.legalserver.org/matter/dynamic-profile/view/1836689","17-1836689")</f>
        <v>0</v>
      </c>
      <c r="B2891" t="s">
        <v>15</v>
      </c>
      <c r="C2891" t="s">
        <v>32</v>
      </c>
      <c r="D2891" t="s">
        <v>2272</v>
      </c>
      <c r="E2891" t="s">
        <v>2390</v>
      </c>
      <c r="F2891" t="s">
        <v>2437</v>
      </c>
      <c r="I2891" t="s">
        <v>2446</v>
      </c>
      <c r="J2891" t="s">
        <v>2567</v>
      </c>
      <c r="K2891" t="s">
        <v>2569</v>
      </c>
      <c r="M2891" t="s">
        <v>2619</v>
      </c>
    </row>
    <row r="2892" spans="1:13">
      <c r="A2892" s="1">
        <f>HYPERLINK("https://lsnyc.legalserver.org/matter/dynamic-profile/view/1836339","17-1836339")</f>
        <v>0</v>
      </c>
      <c r="B2892" t="s">
        <v>17</v>
      </c>
      <c r="C2892" t="s">
        <v>42</v>
      </c>
      <c r="D2892" t="s">
        <v>2273</v>
      </c>
      <c r="E2892" t="s">
        <v>2375</v>
      </c>
      <c r="F2892" t="s">
        <v>2437</v>
      </c>
      <c r="I2892" t="s">
        <v>2446</v>
      </c>
      <c r="J2892" t="s">
        <v>2488</v>
      </c>
      <c r="K2892" t="s">
        <v>2569</v>
      </c>
      <c r="L2892" t="s">
        <v>2600</v>
      </c>
      <c r="M2892" t="s">
        <v>2617</v>
      </c>
    </row>
    <row r="2893" spans="1:13">
      <c r="A2893" s="1">
        <f>HYPERLINK("https://lsnyc.legalserver.org/matter/dynamic-profile/view/1836313","17-1836313")</f>
        <v>0</v>
      </c>
      <c r="B2893" t="s">
        <v>16</v>
      </c>
      <c r="C2893" t="s">
        <v>23</v>
      </c>
      <c r="D2893" t="s">
        <v>2274</v>
      </c>
      <c r="E2893" t="s">
        <v>2390</v>
      </c>
      <c r="F2893" t="s">
        <v>2439</v>
      </c>
      <c r="I2893" t="s">
        <v>2446</v>
      </c>
      <c r="J2893" t="s">
        <v>2454</v>
      </c>
      <c r="K2893" t="s">
        <v>2572</v>
      </c>
      <c r="L2893" t="s">
        <v>2601</v>
      </c>
      <c r="M2893" t="s">
        <v>2631</v>
      </c>
    </row>
    <row r="2894" spans="1:13">
      <c r="A2894" s="1">
        <f>HYPERLINK("https://lsnyc.legalserver.org/matter/dynamic-profile/view/1834992","17-1834992")</f>
        <v>0</v>
      </c>
      <c r="B2894" t="s">
        <v>17</v>
      </c>
      <c r="C2894" t="s">
        <v>36</v>
      </c>
      <c r="D2894" t="s">
        <v>2275</v>
      </c>
      <c r="E2894" t="s">
        <v>2385</v>
      </c>
      <c r="F2894" t="s">
        <v>2438</v>
      </c>
      <c r="I2894" t="s">
        <v>2446</v>
      </c>
      <c r="J2894" t="s">
        <v>2465</v>
      </c>
      <c r="K2894" t="s">
        <v>2569</v>
      </c>
      <c r="L2894" t="s">
        <v>2600</v>
      </c>
      <c r="M2894" t="s">
        <v>2616</v>
      </c>
    </row>
    <row r="2895" spans="1:13">
      <c r="A2895" s="1">
        <f>HYPERLINK("https://lsnyc.legalserver.org/matter/dynamic-profile/view/1835840","17-1835840")</f>
        <v>0</v>
      </c>
      <c r="B2895" t="s">
        <v>16</v>
      </c>
      <c r="C2895" t="s">
        <v>23</v>
      </c>
      <c r="D2895" t="s">
        <v>2276</v>
      </c>
      <c r="E2895" t="s">
        <v>2390</v>
      </c>
      <c r="F2895" t="s">
        <v>2439</v>
      </c>
      <c r="I2895" t="s">
        <v>2446</v>
      </c>
      <c r="J2895" t="s">
        <v>2448</v>
      </c>
      <c r="K2895" t="s">
        <v>2569</v>
      </c>
      <c r="L2895" t="s">
        <v>2601</v>
      </c>
      <c r="M2895" t="s">
        <v>2631</v>
      </c>
    </row>
    <row r="2896" spans="1:13">
      <c r="A2896" s="1">
        <f>HYPERLINK("https://lsnyc.legalserver.org/matter/dynamic-profile/view/1835752","17-1835752")</f>
        <v>0</v>
      </c>
      <c r="B2896" t="s">
        <v>19</v>
      </c>
      <c r="C2896" t="s">
        <v>50</v>
      </c>
      <c r="D2896" t="s">
        <v>2277</v>
      </c>
      <c r="E2896" t="s">
        <v>2375</v>
      </c>
      <c r="F2896" t="s">
        <v>2437</v>
      </c>
      <c r="I2896" t="s">
        <v>2446</v>
      </c>
      <c r="J2896" t="s">
        <v>2483</v>
      </c>
      <c r="K2896" t="s">
        <v>2571</v>
      </c>
      <c r="M2896" t="s">
        <v>2617</v>
      </c>
    </row>
    <row r="2897" spans="1:13">
      <c r="A2897" s="1">
        <f>HYPERLINK("https://lsnyc.legalserver.org/matter/dynamic-profile/view/1835785","17-1835785")</f>
        <v>0</v>
      </c>
      <c r="B2897" t="s">
        <v>16</v>
      </c>
      <c r="C2897" t="s">
        <v>46</v>
      </c>
      <c r="D2897" t="s">
        <v>541</v>
      </c>
      <c r="E2897" t="s">
        <v>2390</v>
      </c>
      <c r="F2897" t="s">
        <v>2437</v>
      </c>
      <c r="I2897" t="s">
        <v>2446</v>
      </c>
      <c r="J2897" t="s">
        <v>2471</v>
      </c>
      <c r="K2897" t="s">
        <v>2572</v>
      </c>
      <c r="L2897" t="s">
        <v>2600</v>
      </c>
      <c r="M2897" t="s">
        <v>2619</v>
      </c>
    </row>
    <row r="2898" spans="1:13">
      <c r="A2898" s="1">
        <f>HYPERLINK("https://lsnyc.legalserver.org/matter/dynamic-profile/view/1835445","17-1835445")</f>
        <v>0</v>
      </c>
      <c r="B2898" t="s">
        <v>15</v>
      </c>
      <c r="C2898" t="s">
        <v>29</v>
      </c>
      <c r="D2898" t="s">
        <v>529</v>
      </c>
      <c r="E2898" t="s">
        <v>2374</v>
      </c>
      <c r="F2898" t="s">
        <v>2438</v>
      </c>
      <c r="I2898" t="s">
        <v>2446</v>
      </c>
      <c r="J2898" t="s">
        <v>2465</v>
      </c>
      <c r="K2898" t="s">
        <v>2569</v>
      </c>
      <c r="M2898" t="s">
        <v>2616</v>
      </c>
    </row>
    <row r="2899" spans="1:13">
      <c r="A2899" s="1">
        <f>HYPERLINK("https://lsnyc.legalserver.org/matter/dynamic-profile/view/1835510","17-1835510")</f>
        <v>0</v>
      </c>
      <c r="B2899" t="s">
        <v>19</v>
      </c>
      <c r="C2899" t="s">
        <v>50</v>
      </c>
      <c r="D2899" t="s">
        <v>2278</v>
      </c>
      <c r="E2899" t="s">
        <v>2375</v>
      </c>
      <c r="F2899" t="s">
        <v>2437</v>
      </c>
      <c r="I2899" t="s">
        <v>2446</v>
      </c>
      <c r="J2899" t="s">
        <v>2471</v>
      </c>
      <c r="K2899" t="s">
        <v>2571</v>
      </c>
      <c r="L2899" t="s">
        <v>2600</v>
      </c>
      <c r="M2899" t="s">
        <v>2617</v>
      </c>
    </row>
    <row r="2900" spans="1:13">
      <c r="A2900" s="1">
        <f>HYPERLINK("https://lsnyc.legalserver.org/matter/dynamic-profile/view/1835521","17-1835521")</f>
        <v>0</v>
      </c>
      <c r="B2900" t="s">
        <v>19</v>
      </c>
      <c r="C2900" t="s">
        <v>54</v>
      </c>
      <c r="D2900" t="s">
        <v>1577</v>
      </c>
      <c r="E2900" t="s">
        <v>2386</v>
      </c>
      <c r="F2900" t="s">
        <v>2437</v>
      </c>
      <c r="I2900" t="s">
        <v>2446</v>
      </c>
      <c r="J2900" t="s">
        <v>2476</v>
      </c>
      <c r="K2900" t="s">
        <v>2572</v>
      </c>
      <c r="L2900" t="s">
        <v>2600</v>
      </c>
      <c r="M2900" t="s">
        <v>2627</v>
      </c>
    </row>
    <row r="2901" spans="1:13">
      <c r="A2901" s="1">
        <f>HYPERLINK("https://lsnyc.legalserver.org/matter/dynamic-profile/view/1835231","17-1835231")</f>
        <v>0</v>
      </c>
      <c r="B2901" t="s">
        <v>16</v>
      </c>
      <c r="C2901" t="s">
        <v>77</v>
      </c>
      <c r="D2901" t="s">
        <v>2279</v>
      </c>
      <c r="E2901" t="s">
        <v>2390</v>
      </c>
      <c r="F2901" t="s">
        <v>2439</v>
      </c>
      <c r="K2901" t="s">
        <v>2572</v>
      </c>
      <c r="L2901" t="s">
        <v>2601</v>
      </c>
      <c r="M2901" t="s">
        <v>2631</v>
      </c>
    </row>
    <row r="2902" spans="1:13">
      <c r="A2902" s="1">
        <f>HYPERLINK("https://lsnyc.legalserver.org/matter/dynamic-profile/view/1835315","17-1835315")</f>
        <v>0</v>
      </c>
      <c r="B2902" t="s">
        <v>16</v>
      </c>
      <c r="C2902" t="s">
        <v>46</v>
      </c>
      <c r="D2902" t="s">
        <v>2280</v>
      </c>
      <c r="E2902" t="s">
        <v>2390</v>
      </c>
      <c r="F2902" t="s">
        <v>2437</v>
      </c>
      <c r="I2902" t="s">
        <v>2446</v>
      </c>
      <c r="J2902" t="s">
        <v>2467</v>
      </c>
      <c r="K2902" t="s">
        <v>2572</v>
      </c>
      <c r="L2902" t="s">
        <v>2600</v>
      </c>
      <c r="M2902" t="s">
        <v>2619</v>
      </c>
    </row>
    <row r="2903" spans="1:13">
      <c r="A2903" s="1">
        <f>HYPERLINK("https://lsnyc.legalserver.org/matter/dynamic-profile/view/1835060","17-1835060")</f>
        <v>0</v>
      </c>
      <c r="B2903" t="s">
        <v>16</v>
      </c>
      <c r="C2903" t="s">
        <v>81</v>
      </c>
      <c r="D2903" t="s">
        <v>2281</v>
      </c>
      <c r="E2903" t="s">
        <v>2390</v>
      </c>
      <c r="F2903" t="s">
        <v>2439</v>
      </c>
      <c r="K2903" t="s">
        <v>2572</v>
      </c>
      <c r="L2903" t="s">
        <v>2601</v>
      </c>
      <c r="M2903" t="s">
        <v>2631</v>
      </c>
    </row>
    <row r="2904" spans="1:13">
      <c r="A2904" s="1">
        <f>HYPERLINK("https://lsnyc.legalserver.org/matter/dynamic-profile/view/1834807","17-1834807")</f>
        <v>0</v>
      </c>
      <c r="B2904" t="s">
        <v>16</v>
      </c>
      <c r="C2904" t="s">
        <v>23</v>
      </c>
      <c r="D2904" t="s">
        <v>1737</v>
      </c>
      <c r="E2904" t="s">
        <v>2408</v>
      </c>
      <c r="F2904" t="s">
        <v>2437</v>
      </c>
      <c r="I2904" t="s">
        <v>2446</v>
      </c>
      <c r="J2904" t="s">
        <v>2490</v>
      </c>
      <c r="K2904" t="s">
        <v>2572</v>
      </c>
      <c r="M2904" t="s">
        <v>2619</v>
      </c>
    </row>
    <row r="2905" spans="1:13">
      <c r="A2905" s="1">
        <f>HYPERLINK("https://lsnyc.legalserver.org/matter/dynamic-profile/view/1834727","17-1834727")</f>
        <v>0</v>
      </c>
      <c r="B2905" t="s">
        <v>16</v>
      </c>
      <c r="C2905" t="s">
        <v>31</v>
      </c>
      <c r="D2905" t="s">
        <v>2282</v>
      </c>
      <c r="E2905" t="s">
        <v>2390</v>
      </c>
      <c r="F2905" t="s">
        <v>2436</v>
      </c>
      <c r="H2905" t="s">
        <v>2445</v>
      </c>
      <c r="K2905" t="s">
        <v>2569</v>
      </c>
      <c r="M2905" t="s">
        <v>2436</v>
      </c>
    </row>
    <row r="2906" spans="1:13">
      <c r="A2906" s="1">
        <f>HYPERLINK("https://lsnyc.legalserver.org/matter/dynamic-profile/view/1834775","17-1834775")</f>
        <v>0</v>
      </c>
      <c r="B2906" t="s">
        <v>15</v>
      </c>
      <c r="C2906" t="s">
        <v>31</v>
      </c>
      <c r="D2906" t="s">
        <v>2283</v>
      </c>
      <c r="E2906" t="s">
        <v>2390</v>
      </c>
      <c r="F2906" t="s">
        <v>2437</v>
      </c>
      <c r="J2906" t="s">
        <v>2465</v>
      </c>
      <c r="K2906" t="s">
        <v>2572</v>
      </c>
      <c r="M2906" t="s">
        <v>2619</v>
      </c>
    </row>
    <row r="2907" spans="1:13">
      <c r="A2907" s="1">
        <f>HYPERLINK("https://lsnyc.legalserver.org/matter/dynamic-profile/view/1834651","17-1834651")</f>
        <v>0</v>
      </c>
      <c r="B2907" t="s">
        <v>19</v>
      </c>
      <c r="C2907" t="s">
        <v>50</v>
      </c>
      <c r="D2907" t="s">
        <v>2284</v>
      </c>
      <c r="E2907" t="s">
        <v>2375</v>
      </c>
      <c r="F2907" t="s">
        <v>2437</v>
      </c>
      <c r="I2907" t="s">
        <v>2446</v>
      </c>
      <c r="J2907" t="s">
        <v>2471</v>
      </c>
      <c r="K2907" t="s">
        <v>2571</v>
      </c>
      <c r="M2907" t="s">
        <v>2617</v>
      </c>
    </row>
    <row r="2908" spans="1:13">
      <c r="A2908" s="1">
        <f>HYPERLINK("https://lsnyc.legalserver.org/matter/dynamic-profile/view/1834245","17-1834245")</f>
        <v>0</v>
      </c>
      <c r="B2908" t="s">
        <v>19</v>
      </c>
      <c r="C2908" t="s">
        <v>62</v>
      </c>
      <c r="D2908" t="s">
        <v>2285</v>
      </c>
      <c r="E2908" t="s">
        <v>2375</v>
      </c>
      <c r="F2908" t="s">
        <v>2437</v>
      </c>
      <c r="I2908" t="s">
        <v>2446</v>
      </c>
      <c r="J2908" t="s">
        <v>2471</v>
      </c>
      <c r="K2908" t="s">
        <v>2571</v>
      </c>
      <c r="L2908" t="s">
        <v>2600</v>
      </c>
      <c r="M2908" t="s">
        <v>2617</v>
      </c>
    </row>
    <row r="2909" spans="1:13">
      <c r="A2909" s="1">
        <f>HYPERLINK("https://lsnyc.legalserver.org/matter/dynamic-profile/view/1833930","17-1833930")</f>
        <v>0</v>
      </c>
      <c r="B2909" t="s">
        <v>16</v>
      </c>
      <c r="C2909" t="s">
        <v>24</v>
      </c>
      <c r="D2909" t="s">
        <v>2286</v>
      </c>
      <c r="E2909" t="s">
        <v>2390</v>
      </c>
      <c r="F2909" t="s">
        <v>2437</v>
      </c>
      <c r="J2909" t="s">
        <v>2448</v>
      </c>
      <c r="K2909" t="s">
        <v>2569</v>
      </c>
      <c r="L2909" t="s">
        <v>2602</v>
      </c>
      <c r="M2909" t="s">
        <v>2631</v>
      </c>
    </row>
    <row r="2910" spans="1:13">
      <c r="A2910" s="1">
        <f>HYPERLINK("https://lsnyc.legalserver.org/matter/dynamic-profile/view/1833516","17-1833516")</f>
        <v>0</v>
      </c>
      <c r="B2910" t="s">
        <v>15</v>
      </c>
      <c r="C2910" t="s">
        <v>31</v>
      </c>
      <c r="D2910" t="s">
        <v>2287</v>
      </c>
      <c r="E2910" t="s">
        <v>2390</v>
      </c>
      <c r="F2910" t="s">
        <v>2437</v>
      </c>
      <c r="J2910" t="s">
        <v>2470</v>
      </c>
      <c r="K2910" t="s">
        <v>2577</v>
      </c>
      <c r="M2910" t="s">
        <v>2619</v>
      </c>
    </row>
    <row r="2911" spans="1:13">
      <c r="A2911" s="1">
        <f>HYPERLINK("https://lsnyc.legalserver.org/matter/dynamic-profile/view/1833256","17-1833256")</f>
        <v>0</v>
      </c>
      <c r="B2911" t="s">
        <v>16</v>
      </c>
      <c r="C2911" t="s">
        <v>23</v>
      </c>
      <c r="D2911" t="s">
        <v>2288</v>
      </c>
      <c r="E2911" t="s">
        <v>2390</v>
      </c>
      <c r="F2911" t="s">
        <v>2439</v>
      </c>
      <c r="K2911" t="s">
        <v>2569</v>
      </c>
      <c r="L2911" t="s">
        <v>2601</v>
      </c>
      <c r="M2911" t="s">
        <v>2631</v>
      </c>
    </row>
    <row r="2912" spans="1:13">
      <c r="A2912" s="1">
        <f>HYPERLINK("https://lsnyc.legalserver.org/matter/dynamic-profile/view/1833321","17-1833321")</f>
        <v>0</v>
      </c>
      <c r="B2912" t="s">
        <v>19</v>
      </c>
      <c r="C2912" t="s">
        <v>50</v>
      </c>
      <c r="D2912" t="s">
        <v>2289</v>
      </c>
      <c r="E2912" t="s">
        <v>2375</v>
      </c>
      <c r="F2912" t="s">
        <v>2437</v>
      </c>
      <c r="I2912" t="s">
        <v>2446</v>
      </c>
      <c r="J2912" t="s">
        <v>2471</v>
      </c>
      <c r="M2912" t="s">
        <v>2617</v>
      </c>
    </row>
    <row r="2913" spans="1:13">
      <c r="A2913" s="1">
        <f>HYPERLINK("https://lsnyc.legalserver.org/matter/dynamic-profile/view/1832949","17-1832949")</f>
        <v>0</v>
      </c>
      <c r="B2913" t="s">
        <v>14</v>
      </c>
      <c r="C2913" t="s">
        <v>69</v>
      </c>
      <c r="D2913" t="s">
        <v>2290</v>
      </c>
      <c r="E2913" t="s">
        <v>2431</v>
      </c>
      <c r="F2913" t="s">
        <v>2439</v>
      </c>
      <c r="J2913" t="s">
        <v>2465</v>
      </c>
      <c r="K2913" t="s">
        <v>2569</v>
      </c>
      <c r="L2913" t="s">
        <v>2602</v>
      </c>
      <c r="M2913" t="s">
        <v>2614</v>
      </c>
    </row>
    <row r="2914" spans="1:13">
      <c r="A2914" s="1">
        <f>HYPERLINK("https://lsnyc.legalserver.org/matter/dynamic-profile/view/0832847","17-0832847")</f>
        <v>0</v>
      </c>
      <c r="B2914" t="s">
        <v>16</v>
      </c>
      <c r="C2914" t="s">
        <v>23</v>
      </c>
      <c r="D2914" t="s">
        <v>1728</v>
      </c>
      <c r="E2914" t="s">
        <v>2390</v>
      </c>
      <c r="F2914" t="s">
        <v>2437</v>
      </c>
      <c r="I2914" t="s">
        <v>2446</v>
      </c>
      <c r="J2914" t="s">
        <v>2489</v>
      </c>
      <c r="K2914" t="s">
        <v>2572</v>
      </c>
      <c r="M2914" t="s">
        <v>2626</v>
      </c>
    </row>
    <row r="2915" spans="1:13">
      <c r="A2915" s="1">
        <f>HYPERLINK("https://lsnyc.legalserver.org/matter/dynamic-profile/view/0832748","17-0832748")</f>
        <v>0</v>
      </c>
      <c r="B2915" t="s">
        <v>15</v>
      </c>
      <c r="C2915" t="s">
        <v>37</v>
      </c>
      <c r="D2915" t="s">
        <v>2291</v>
      </c>
      <c r="E2915" t="s">
        <v>2390</v>
      </c>
      <c r="F2915" t="s">
        <v>2437</v>
      </c>
      <c r="J2915" t="s">
        <v>2448</v>
      </c>
      <c r="K2915" t="s">
        <v>2569</v>
      </c>
      <c r="L2915" t="s">
        <v>2604</v>
      </c>
      <c r="M2915" t="s">
        <v>2619</v>
      </c>
    </row>
    <row r="2916" spans="1:13">
      <c r="A2916" s="1">
        <f>HYPERLINK("https://lsnyc.legalserver.org/matter/dynamic-profile/view/0832501","17-0832501")</f>
        <v>0</v>
      </c>
      <c r="B2916" t="s">
        <v>16</v>
      </c>
      <c r="C2916" t="s">
        <v>23</v>
      </c>
      <c r="D2916" t="s">
        <v>2292</v>
      </c>
      <c r="E2916" t="s">
        <v>2390</v>
      </c>
      <c r="F2916" t="s">
        <v>2439</v>
      </c>
      <c r="I2916" t="s">
        <v>2446</v>
      </c>
      <c r="J2916" t="s">
        <v>2448</v>
      </c>
      <c r="K2916" t="s">
        <v>2569</v>
      </c>
      <c r="L2916" t="s">
        <v>2601</v>
      </c>
      <c r="M2916" t="s">
        <v>2631</v>
      </c>
    </row>
    <row r="2917" spans="1:13">
      <c r="A2917" s="1">
        <f>HYPERLINK("https://lsnyc.legalserver.org/matter/dynamic-profile/view/0831971","17-0831971")</f>
        <v>0</v>
      </c>
      <c r="B2917" t="s">
        <v>17</v>
      </c>
      <c r="C2917" t="s">
        <v>28</v>
      </c>
      <c r="D2917" t="s">
        <v>2293</v>
      </c>
      <c r="E2917" t="s">
        <v>2387</v>
      </c>
      <c r="F2917" t="s">
        <v>2437</v>
      </c>
      <c r="I2917" t="s">
        <v>2446</v>
      </c>
      <c r="J2917" t="s">
        <v>2457</v>
      </c>
      <c r="K2917" t="s">
        <v>2569</v>
      </c>
      <c r="L2917" t="s">
        <v>2600</v>
      </c>
      <c r="M2917" t="s">
        <v>2629</v>
      </c>
    </row>
    <row r="2918" spans="1:13">
      <c r="A2918" s="1">
        <f>HYPERLINK("https://lsnyc.legalserver.org/matter/dynamic-profile/view/0832294","17-0832294")</f>
        <v>0</v>
      </c>
      <c r="B2918" t="s">
        <v>15</v>
      </c>
      <c r="C2918" t="s">
        <v>73</v>
      </c>
      <c r="D2918" t="s">
        <v>2294</v>
      </c>
      <c r="E2918" t="s">
        <v>2390</v>
      </c>
      <c r="F2918" t="s">
        <v>2437</v>
      </c>
      <c r="H2918" t="s">
        <v>2445</v>
      </c>
      <c r="J2918" t="s">
        <v>2448</v>
      </c>
      <c r="K2918" t="s">
        <v>2569</v>
      </c>
      <c r="L2918" t="s">
        <v>2600</v>
      </c>
      <c r="M2918" t="s">
        <v>2619</v>
      </c>
    </row>
    <row r="2919" spans="1:13">
      <c r="A2919" s="1">
        <f>HYPERLINK("https://lsnyc.legalserver.org/matter/dynamic-profile/view/0832158","17-0832158")</f>
        <v>0</v>
      </c>
      <c r="B2919" t="s">
        <v>16</v>
      </c>
      <c r="C2919" t="s">
        <v>23</v>
      </c>
      <c r="D2919" t="s">
        <v>2295</v>
      </c>
      <c r="E2919" t="s">
        <v>2390</v>
      </c>
      <c r="F2919" t="s">
        <v>2436</v>
      </c>
      <c r="K2919" t="s">
        <v>2572</v>
      </c>
      <c r="L2919" t="s">
        <v>2601</v>
      </c>
      <c r="M2919" t="s">
        <v>2631</v>
      </c>
    </row>
    <row r="2920" spans="1:13">
      <c r="A2920" s="1">
        <f>HYPERLINK("https://lsnyc.legalserver.org/matter/dynamic-profile/view/0832038","17-0832038")</f>
        <v>0</v>
      </c>
      <c r="B2920" t="s">
        <v>16</v>
      </c>
      <c r="C2920" t="s">
        <v>77</v>
      </c>
      <c r="D2920" t="s">
        <v>2296</v>
      </c>
      <c r="E2920" t="s">
        <v>2408</v>
      </c>
      <c r="F2920" t="s">
        <v>2436</v>
      </c>
      <c r="K2920" t="s">
        <v>2569</v>
      </c>
      <c r="L2920" t="s">
        <v>2601</v>
      </c>
      <c r="M2920" t="s">
        <v>2631</v>
      </c>
    </row>
    <row r="2921" spans="1:13">
      <c r="A2921" s="1">
        <f>HYPERLINK("https://lsnyc.legalserver.org/matter/dynamic-profile/view/0831733","17-0831733")</f>
        <v>0</v>
      </c>
      <c r="B2921" t="s">
        <v>16</v>
      </c>
      <c r="C2921" t="s">
        <v>77</v>
      </c>
      <c r="D2921" t="s">
        <v>2297</v>
      </c>
      <c r="E2921" t="s">
        <v>2390</v>
      </c>
      <c r="F2921" t="s">
        <v>2439</v>
      </c>
      <c r="K2921" t="s">
        <v>2569</v>
      </c>
      <c r="L2921" t="s">
        <v>2601</v>
      </c>
      <c r="M2921" t="s">
        <v>2631</v>
      </c>
    </row>
    <row r="2922" spans="1:13">
      <c r="A2922" s="1">
        <f>HYPERLINK("https://lsnyc.legalserver.org/matter/dynamic-profile/view/0831819","17-0831819")</f>
        <v>0</v>
      </c>
      <c r="B2922" t="s">
        <v>16</v>
      </c>
      <c r="C2922" t="s">
        <v>77</v>
      </c>
      <c r="D2922" t="s">
        <v>2298</v>
      </c>
      <c r="E2922" t="s">
        <v>2390</v>
      </c>
      <c r="F2922" t="s">
        <v>2436</v>
      </c>
      <c r="K2922" t="s">
        <v>2572</v>
      </c>
      <c r="L2922" t="s">
        <v>2601</v>
      </c>
      <c r="M2922" t="s">
        <v>2631</v>
      </c>
    </row>
    <row r="2923" spans="1:13">
      <c r="A2923" s="1">
        <f>HYPERLINK("https://lsnyc.legalserver.org/matter/dynamic-profile/view/0830473","17-0830473")</f>
        <v>0</v>
      </c>
      <c r="B2923" t="s">
        <v>17</v>
      </c>
      <c r="C2923" t="s">
        <v>28</v>
      </c>
      <c r="D2923" t="s">
        <v>2299</v>
      </c>
      <c r="E2923" t="s">
        <v>2375</v>
      </c>
      <c r="F2923" t="s">
        <v>2437</v>
      </c>
      <c r="I2923" t="s">
        <v>2446</v>
      </c>
      <c r="J2923" t="s">
        <v>2450</v>
      </c>
      <c r="K2923" t="s">
        <v>2569</v>
      </c>
      <c r="L2923" t="s">
        <v>2600</v>
      </c>
      <c r="M2923" t="s">
        <v>2617</v>
      </c>
    </row>
    <row r="2924" spans="1:13">
      <c r="A2924" s="1">
        <f>HYPERLINK("https://lsnyc.legalserver.org/matter/dynamic-profile/view/0831750","17-0831750")</f>
        <v>0</v>
      </c>
      <c r="B2924" t="s">
        <v>15</v>
      </c>
      <c r="C2924" t="s">
        <v>32</v>
      </c>
      <c r="D2924" t="s">
        <v>2300</v>
      </c>
      <c r="E2924" t="s">
        <v>2390</v>
      </c>
      <c r="F2924" t="s">
        <v>2437</v>
      </c>
      <c r="J2924" t="s">
        <v>2480</v>
      </c>
      <c r="K2924" t="s">
        <v>2572</v>
      </c>
      <c r="M2924" t="s">
        <v>2619</v>
      </c>
    </row>
    <row r="2925" spans="1:13">
      <c r="A2925" s="1">
        <f>HYPERLINK("https://lsnyc.legalserver.org/matter/dynamic-profile/view/0831458","17-0831458")</f>
        <v>0</v>
      </c>
      <c r="B2925" t="s">
        <v>19</v>
      </c>
      <c r="C2925" t="s">
        <v>54</v>
      </c>
      <c r="D2925" t="s">
        <v>2301</v>
      </c>
      <c r="E2925" t="s">
        <v>2374</v>
      </c>
      <c r="F2925" t="s">
        <v>2438</v>
      </c>
      <c r="I2925" t="s">
        <v>2446</v>
      </c>
      <c r="J2925" t="s">
        <v>2485</v>
      </c>
      <c r="L2925" t="s">
        <v>2601</v>
      </c>
      <c r="M2925" t="s">
        <v>2631</v>
      </c>
    </row>
    <row r="2926" spans="1:13">
      <c r="A2926" s="1">
        <f>HYPERLINK("https://lsnyc.legalserver.org/matter/dynamic-profile/view/0830466","17-0830466")</f>
        <v>0</v>
      </c>
      <c r="B2926" t="s">
        <v>17</v>
      </c>
      <c r="C2926" t="s">
        <v>28</v>
      </c>
      <c r="D2926" t="s">
        <v>1847</v>
      </c>
      <c r="E2926" t="s">
        <v>2373</v>
      </c>
      <c r="F2926" t="s">
        <v>2441</v>
      </c>
      <c r="I2926" t="s">
        <v>2446</v>
      </c>
      <c r="J2926" t="s">
        <v>2450</v>
      </c>
      <c r="K2926" t="s">
        <v>2569</v>
      </c>
      <c r="L2926" t="s">
        <v>2609</v>
      </c>
      <c r="M2926" t="s">
        <v>2615</v>
      </c>
    </row>
    <row r="2927" spans="1:13">
      <c r="A2927" s="1">
        <f>HYPERLINK("https://lsnyc.legalserver.org/matter/dynamic-profile/view/0831317","17-0831317")</f>
        <v>0</v>
      </c>
      <c r="B2927" t="s">
        <v>16</v>
      </c>
      <c r="C2927" t="s">
        <v>23</v>
      </c>
      <c r="D2927" t="s">
        <v>2302</v>
      </c>
      <c r="E2927" t="s">
        <v>2390</v>
      </c>
      <c r="F2927" t="s">
        <v>2437</v>
      </c>
      <c r="I2927" t="s">
        <v>2446</v>
      </c>
      <c r="J2927" t="s">
        <v>2448</v>
      </c>
      <c r="K2927" t="s">
        <v>2572</v>
      </c>
      <c r="M2927" t="s">
        <v>2626</v>
      </c>
    </row>
    <row r="2928" spans="1:13">
      <c r="A2928" s="1">
        <f>HYPERLINK("https://lsnyc.legalserver.org/matter/dynamic-profile/view/0828965","17-0828965")</f>
        <v>0</v>
      </c>
      <c r="B2928" t="s">
        <v>17</v>
      </c>
      <c r="C2928" t="s">
        <v>36</v>
      </c>
      <c r="D2928" t="s">
        <v>2303</v>
      </c>
      <c r="E2928" t="s">
        <v>2387</v>
      </c>
      <c r="F2928" t="s">
        <v>2437</v>
      </c>
      <c r="J2928" t="s">
        <v>2457</v>
      </c>
      <c r="K2928" t="s">
        <v>2569</v>
      </c>
      <c r="M2928" t="s">
        <v>2626</v>
      </c>
    </row>
    <row r="2929" spans="1:14">
      <c r="A2929" s="1">
        <f>HYPERLINK("https://lsnyc.legalserver.org/matter/dynamic-profile/view/0830881","17-0830881")</f>
        <v>0</v>
      </c>
      <c r="B2929" t="s">
        <v>15</v>
      </c>
      <c r="C2929" t="s">
        <v>37</v>
      </c>
      <c r="D2929" t="s">
        <v>2304</v>
      </c>
      <c r="E2929" t="s">
        <v>2390</v>
      </c>
      <c r="F2929" t="s">
        <v>2436</v>
      </c>
      <c r="K2929" t="s">
        <v>2572</v>
      </c>
      <c r="L2929" t="s">
        <v>2601</v>
      </c>
      <c r="M2929" t="s">
        <v>2631</v>
      </c>
    </row>
    <row r="2930" spans="1:14">
      <c r="A2930" s="1">
        <f>HYPERLINK("https://lsnyc.legalserver.org/matter/dynamic-profile/view/0830888","17-0830888")</f>
        <v>0</v>
      </c>
      <c r="B2930" t="s">
        <v>14</v>
      </c>
      <c r="C2930" t="s">
        <v>33</v>
      </c>
      <c r="D2930" t="s">
        <v>1432</v>
      </c>
      <c r="E2930" t="s">
        <v>2385</v>
      </c>
      <c r="F2930" t="s">
        <v>2438</v>
      </c>
      <c r="I2930" t="s">
        <v>2446</v>
      </c>
      <c r="J2930" t="s">
        <v>2450</v>
      </c>
      <c r="K2930" t="s">
        <v>2569</v>
      </c>
      <c r="L2930" t="s">
        <v>2600</v>
      </c>
      <c r="M2930" t="s">
        <v>2616</v>
      </c>
    </row>
    <row r="2931" spans="1:14">
      <c r="A2931" s="1">
        <f>HYPERLINK("https://lsnyc.legalserver.org/matter/dynamic-profile/view/0830775","17-0830775")</f>
        <v>0</v>
      </c>
      <c r="B2931" t="s">
        <v>16</v>
      </c>
      <c r="C2931" t="s">
        <v>77</v>
      </c>
      <c r="D2931" t="s">
        <v>2305</v>
      </c>
      <c r="E2931" t="s">
        <v>2390</v>
      </c>
      <c r="F2931" t="s">
        <v>2436</v>
      </c>
      <c r="K2931" t="s">
        <v>2572</v>
      </c>
      <c r="L2931" t="s">
        <v>2601</v>
      </c>
      <c r="M2931" t="s">
        <v>2631</v>
      </c>
    </row>
    <row r="2932" spans="1:14">
      <c r="A2932" s="1">
        <f>HYPERLINK("https://lsnyc.legalserver.org/matter/dynamic-profile/view/0830460","17-0830460")</f>
        <v>0</v>
      </c>
      <c r="B2932" t="s">
        <v>17</v>
      </c>
      <c r="C2932" t="s">
        <v>28</v>
      </c>
      <c r="D2932" t="s">
        <v>1199</v>
      </c>
      <c r="E2932" t="s">
        <v>2391</v>
      </c>
      <c r="F2932" t="s">
        <v>2437</v>
      </c>
      <c r="I2932" t="s">
        <v>2446</v>
      </c>
      <c r="J2932" t="s">
        <v>2450</v>
      </c>
      <c r="K2932" t="s">
        <v>2569</v>
      </c>
      <c r="L2932" t="s">
        <v>2600</v>
      </c>
      <c r="M2932" t="s">
        <v>2615</v>
      </c>
    </row>
    <row r="2933" spans="1:14">
      <c r="A2933" s="1">
        <f>HYPERLINK("https://lsnyc.legalserver.org/matter/dynamic-profile/view/0830402","17-0830402")</f>
        <v>0</v>
      </c>
      <c r="B2933" t="s">
        <v>16</v>
      </c>
      <c r="C2933" t="s">
        <v>77</v>
      </c>
      <c r="D2933" t="s">
        <v>2306</v>
      </c>
      <c r="E2933" t="s">
        <v>2390</v>
      </c>
      <c r="F2933" t="s">
        <v>2439</v>
      </c>
      <c r="K2933" t="s">
        <v>2569</v>
      </c>
      <c r="L2933" t="s">
        <v>2601</v>
      </c>
      <c r="M2933" t="s">
        <v>2631</v>
      </c>
    </row>
    <row r="2934" spans="1:14">
      <c r="A2934" s="1">
        <f>HYPERLINK("https://lsnyc.legalserver.org/matter/dynamic-profile/view/0830359","17-0830359")</f>
        <v>0</v>
      </c>
      <c r="B2934" t="s">
        <v>14</v>
      </c>
      <c r="C2934" t="s">
        <v>20</v>
      </c>
      <c r="D2934" t="s">
        <v>215</v>
      </c>
      <c r="E2934" t="s">
        <v>2385</v>
      </c>
      <c r="F2934" t="s">
        <v>2438</v>
      </c>
      <c r="J2934" t="s">
        <v>2450</v>
      </c>
      <c r="K2934" t="s">
        <v>2569</v>
      </c>
      <c r="L2934" t="s">
        <v>2605</v>
      </c>
      <c r="M2934" t="s">
        <v>2616</v>
      </c>
    </row>
    <row r="2935" spans="1:14">
      <c r="A2935" s="1">
        <f>HYPERLINK("https://lsnyc.legalserver.org/matter/dynamic-profile/view/0829740","17-0829740")</f>
        <v>0</v>
      </c>
      <c r="B2935" t="s">
        <v>15</v>
      </c>
      <c r="C2935" t="s">
        <v>37</v>
      </c>
      <c r="D2935" t="s">
        <v>2307</v>
      </c>
      <c r="E2935" t="s">
        <v>2390</v>
      </c>
      <c r="F2935" t="s">
        <v>2437</v>
      </c>
      <c r="J2935" t="s">
        <v>2452</v>
      </c>
      <c r="K2935" t="s">
        <v>2572</v>
      </c>
      <c r="L2935" t="s">
        <v>2600</v>
      </c>
      <c r="M2935" t="s">
        <v>2626</v>
      </c>
    </row>
    <row r="2936" spans="1:14">
      <c r="A2936" s="1">
        <f>HYPERLINK("https://lsnyc.legalserver.org/matter/dynamic-profile/view/0829758","17-0829758")</f>
        <v>0</v>
      </c>
      <c r="B2936" t="s">
        <v>15</v>
      </c>
      <c r="C2936" t="s">
        <v>32</v>
      </c>
      <c r="D2936" t="s">
        <v>2308</v>
      </c>
      <c r="E2936" t="s">
        <v>2390</v>
      </c>
      <c r="F2936" t="s">
        <v>2437</v>
      </c>
      <c r="J2936" t="s">
        <v>2457</v>
      </c>
      <c r="K2936" t="s">
        <v>2569</v>
      </c>
      <c r="M2936" t="s">
        <v>2619</v>
      </c>
    </row>
    <row r="2937" spans="1:14">
      <c r="A2937" s="1">
        <f>HYPERLINK("https://lsnyc.legalserver.org/matter/dynamic-profile/view/0829100","17-0829100")</f>
        <v>0</v>
      </c>
      <c r="B2937" t="s">
        <v>17</v>
      </c>
      <c r="C2937" t="s">
        <v>36</v>
      </c>
      <c r="D2937" t="s">
        <v>2309</v>
      </c>
      <c r="E2937" t="s">
        <v>2374</v>
      </c>
      <c r="F2937" t="s">
        <v>2438</v>
      </c>
      <c r="I2937" t="s">
        <v>2446</v>
      </c>
      <c r="J2937" t="s">
        <v>2465</v>
      </c>
      <c r="K2937" t="s">
        <v>2569</v>
      </c>
      <c r="L2937" t="s">
        <v>2600</v>
      </c>
      <c r="M2937" t="s">
        <v>2616</v>
      </c>
    </row>
    <row r="2938" spans="1:14">
      <c r="A2938" s="1">
        <f>HYPERLINK("https://lsnyc.legalserver.org/matter/dynamic-profile/view/0828869","17-0828869")</f>
        <v>0</v>
      </c>
      <c r="B2938" t="s">
        <v>16</v>
      </c>
      <c r="C2938" t="s">
        <v>23</v>
      </c>
      <c r="D2938" t="s">
        <v>2310</v>
      </c>
      <c r="E2938" t="s">
        <v>2381</v>
      </c>
      <c r="F2938" t="s">
        <v>2437</v>
      </c>
      <c r="I2938" t="s">
        <v>2446</v>
      </c>
      <c r="J2938" t="s">
        <v>2451</v>
      </c>
      <c r="L2938" t="s">
        <v>2604</v>
      </c>
      <c r="M2938" t="s">
        <v>2622</v>
      </c>
    </row>
    <row r="2939" spans="1:14">
      <c r="A2939" s="1">
        <f>HYPERLINK("https://lsnyc.legalserver.org/matter/dynamic-profile/view/0828601","17-0828601")</f>
        <v>0</v>
      </c>
      <c r="B2939" t="s">
        <v>16</v>
      </c>
      <c r="C2939" t="s">
        <v>77</v>
      </c>
      <c r="D2939" t="s">
        <v>2311</v>
      </c>
      <c r="E2939" t="s">
        <v>2390</v>
      </c>
      <c r="F2939" t="s">
        <v>2439</v>
      </c>
      <c r="K2939" t="s">
        <v>2569</v>
      </c>
      <c r="L2939" t="s">
        <v>2601</v>
      </c>
      <c r="M2939" t="s">
        <v>2631</v>
      </c>
    </row>
    <row r="2940" spans="1:14">
      <c r="A2940" s="1">
        <f>HYPERLINK("https://lsnyc.legalserver.org/matter/dynamic-profile/view/0828321","17-0828321")</f>
        <v>0</v>
      </c>
      <c r="B2940" t="s">
        <v>16</v>
      </c>
      <c r="C2940" t="s">
        <v>77</v>
      </c>
      <c r="D2940" t="s">
        <v>2312</v>
      </c>
      <c r="E2940" t="s">
        <v>2390</v>
      </c>
      <c r="F2940" t="s">
        <v>2439</v>
      </c>
      <c r="K2940" t="s">
        <v>2572</v>
      </c>
      <c r="L2940" t="s">
        <v>2601</v>
      </c>
      <c r="M2940" t="s">
        <v>2631</v>
      </c>
    </row>
    <row r="2941" spans="1:14">
      <c r="A2941" s="1">
        <f>HYPERLINK("https://lsnyc.legalserver.org/matter/dynamic-profile/view/0828194","17-0828194")</f>
        <v>0</v>
      </c>
      <c r="B2941" t="s">
        <v>15</v>
      </c>
      <c r="C2941" t="s">
        <v>73</v>
      </c>
      <c r="D2941" t="s">
        <v>2313</v>
      </c>
      <c r="E2941" t="s">
        <v>2390</v>
      </c>
      <c r="F2941" t="s">
        <v>2437</v>
      </c>
      <c r="J2941" t="s">
        <v>2455</v>
      </c>
      <c r="K2941" t="s">
        <v>2569</v>
      </c>
      <c r="L2941" t="s">
        <v>2600</v>
      </c>
      <c r="M2941" t="s">
        <v>2619</v>
      </c>
    </row>
    <row r="2942" spans="1:14">
      <c r="A2942" s="1">
        <f>HYPERLINK("https://lsnyc.legalserver.org/matter/dynamic-profile/view/0828115","17-0828115")</f>
        <v>0</v>
      </c>
      <c r="B2942" t="s">
        <v>14</v>
      </c>
      <c r="C2942" t="s">
        <v>26</v>
      </c>
      <c r="D2942" t="s">
        <v>2314</v>
      </c>
      <c r="E2942" t="s">
        <v>2387</v>
      </c>
      <c r="F2942" t="s">
        <v>2437</v>
      </c>
      <c r="J2942" t="s">
        <v>2457</v>
      </c>
      <c r="K2942" t="s">
        <v>2569</v>
      </c>
      <c r="M2942" t="s">
        <v>2629</v>
      </c>
      <c r="N2942" t="s">
        <v>2648</v>
      </c>
    </row>
    <row r="2943" spans="1:14">
      <c r="A2943" s="1">
        <f>HYPERLINK("https://lsnyc.legalserver.org/matter/dynamic-profile/view/0827940","17-0827940")</f>
        <v>0</v>
      </c>
      <c r="B2943" t="s">
        <v>16</v>
      </c>
      <c r="C2943" t="s">
        <v>77</v>
      </c>
      <c r="D2943" t="s">
        <v>2315</v>
      </c>
      <c r="E2943" t="s">
        <v>2390</v>
      </c>
      <c r="F2943" t="s">
        <v>2436</v>
      </c>
      <c r="K2943" t="s">
        <v>2572</v>
      </c>
      <c r="L2943" t="s">
        <v>2601</v>
      </c>
      <c r="M2943" t="s">
        <v>2631</v>
      </c>
    </row>
    <row r="2944" spans="1:14">
      <c r="A2944" s="1">
        <f>HYPERLINK("https://lsnyc.legalserver.org/matter/dynamic-profile/view/0827997","17-0827997")</f>
        <v>0</v>
      </c>
      <c r="B2944" t="s">
        <v>16</v>
      </c>
      <c r="C2944" t="s">
        <v>23</v>
      </c>
      <c r="D2944" t="s">
        <v>1740</v>
      </c>
      <c r="E2944" t="s">
        <v>2387</v>
      </c>
      <c r="F2944" t="s">
        <v>2437</v>
      </c>
      <c r="I2944" t="s">
        <v>2446</v>
      </c>
      <c r="J2944" t="s">
        <v>2457</v>
      </c>
      <c r="K2944" t="s">
        <v>2569</v>
      </c>
      <c r="M2944" t="s">
        <v>2629</v>
      </c>
    </row>
    <row r="2945" spans="1:14">
      <c r="A2945" s="1">
        <f>HYPERLINK("https://lsnyc.legalserver.org/matter/dynamic-profile/view/0828074","17-0828074")</f>
        <v>0</v>
      </c>
      <c r="B2945" t="s">
        <v>15</v>
      </c>
      <c r="C2945" t="s">
        <v>32</v>
      </c>
      <c r="D2945" t="s">
        <v>2316</v>
      </c>
      <c r="E2945" t="s">
        <v>2390</v>
      </c>
      <c r="K2945" t="s">
        <v>2569</v>
      </c>
      <c r="M2945" t="s">
        <v>2619</v>
      </c>
    </row>
    <row r="2946" spans="1:14">
      <c r="A2946" s="1">
        <f>HYPERLINK("https://lsnyc.legalserver.org/matter/dynamic-profile/view/0827203","17-0827203")</f>
        <v>0</v>
      </c>
      <c r="B2946" t="s">
        <v>16</v>
      </c>
      <c r="C2946" t="s">
        <v>23</v>
      </c>
      <c r="D2946" t="s">
        <v>1613</v>
      </c>
      <c r="E2946" t="s">
        <v>2387</v>
      </c>
      <c r="F2946" t="s">
        <v>2437</v>
      </c>
      <c r="J2946" t="s">
        <v>2457</v>
      </c>
      <c r="K2946" t="s">
        <v>2569</v>
      </c>
      <c r="M2946" t="s">
        <v>2629</v>
      </c>
    </row>
    <row r="2947" spans="1:14">
      <c r="A2947" s="1">
        <f>HYPERLINK("https://lsnyc.legalserver.org/matter/dynamic-profile/view/0827060","17-0827060")</f>
        <v>0</v>
      </c>
      <c r="B2947" t="s">
        <v>16</v>
      </c>
      <c r="C2947" t="s">
        <v>77</v>
      </c>
      <c r="D2947" t="s">
        <v>2317</v>
      </c>
      <c r="E2947" t="s">
        <v>2390</v>
      </c>
      <c r="F2947" t="s">
        <v>2440</v>
      </c>
      <c r="K2947" t="s">
        <v>2569</v>
      </c>
      <c r="L2947" t="s">
        <v>2601</v>
      </c>
      <c r="M2947" t="s">
        <v>2631</v>
      </c>
    </row>
    <row r="2948" spans="1:14">
      <c r="A2948" s="1">
        <f>HYPERLINK("https://lsnyc.legalserver.org/matter/dynamic-profile/view/0826788","17-0826788")</f>
        <v>0</v>
      </c>
      <c r="B2948" t="s">
        <v>16</v>
      </c>
      <c r="C2948" t="s">
        <v>77</v>
      </c>
      <c r="D2948" t="s">
        <v>2318</v>
      </c>
      <c r="E2948" t="s">
        <v>2390</v>
      </c>
      <c r="K2948" t="s">
        <v>2569</v>
      </c>
      <c r="L2948" t="s">
        <v>2601</v>
      </c>
      <c r="M2948" t="s">
        <v>2631</v>
      </c>
    </row>
    <row r="2949" spans="1:14">
      <c r="A2949" s="1">
        <f>HYPERLINK("https://lsnyc.legalserver.org/matter/dynamic-profile/view/0826895","17-0826895")</f>
        <v>0</v>
      </c>
      <c r="B2949" t="s">
        <v>15</v>
      </c>
      <c r="C2949" t="s">
        <v>73</v>
      </c>
      <c r="D2949" t="s">
        <v>2319</v>
      </c>
      <c r="E2949" t="s">
        <v>2381</v>
      </c>
      <c r="F2949" t="s">
        <v>2437</v>
      </c>
      <c r="K2949" t="s">
        <v>2572</v>
      </c>
      <c r="L2949" t="s">
        <v>2603</v>
      </c>
      <c r="M2949" t="s">
        <v>2626</v>
      </c>
    </row>
    <row r="2950" spans="1:14">
      <c r="A2950" s="1">
        <f>HYPERLINK("https://lsnyc.legalserver.org/matter/dynamic-profile/view/0826532","17-0826532")</f>
        <v>0</v>
      </c>
      <c r="B2950" t="s">
        <v>14</v>
      </c>
      <c r="C2950" t="s">
        <v>43</v>
      </c>
      <c r="D2950" t="s">
        <v>2320</v>
      </c>
      <c r="E2950" t="s">
        <v>2371</v>
      </c>
      <c r="F2950" t="s">
        <v>2437</v>
      </c>
      <c r="I2950" t="s">
        <v>2446</v>
      </c>
      <c r="J2950" t="s">
        <v>2448</v>
      </c>
      <c r="K2950" t="s">
        <v>2569</v>
      </c>
      <c r="L2950" t="s">
        <v>2600</v>
      </c>
      <c r="M2950" t="s">
        <v>2612</v>
      </c>
    </row>
    <row r="2951" spans="1:14">
      <c r="A2951" s="1">
        <f>HYPERLINK("https://lsnyc.legalserver.org/matter/dynamic-profile/view/0826134","17-0826134")</f>
        <v>0</v>
      </c>
      <c r="B2951" t="s">
        <v>16</v>
      </c>
      <c r="C2951" t="s">
        <v>46</v>
      </c>
      <c r="D2951" t="s">
        <v>508</v>
      </c>
      <c r="E2951" t="s">
        <v>2390</v>
      </c>
      <c r="F2951" t="s">
        <v>2437</v>
      </c>
      <c r="I2951" t="s">
        <v>2446</v>
      </c>
      <c r="J2951" t="s">
        <v>2457</v>
      </c>
      <c r="K2951" t="s">
        <v>2569</v>
      </c>
      <c r="M2951" t="s">
        <v>2626</v>
      </c>
    </row>
    <row r="2952" spans="1:14">
      <c r="A2952" s="1">
        <f>HYPERLINK("https://lsnyc.legalserver.org/matter/dynamic-profile/view/0825972","17-0825972")</f>
        <v>0</v>
      </c>
      <c r="B2952" t="s">
        <v>18</v>
      </c>
      <c r="C2952" t="s">
        <v>35</v>
      </c>
      <c r="D2952" t="s">
        <v>814</v>
      </c>
      <c r="E2952" t="s">
        <v>2374</v>
      </c>
      <c r="F2952" t="s">
        <v>2438</v>
      </c>
      <c r="I2952" t="s">
        <v>2446</v>
      </c>
      <c r="J2952" t="s">
        <v>2518</v>
      </c>
      <c r="K2952" t="s">
        <v>2572</v>
      </c>
      <c r="L2952" t="s">
        <v>2603</v>
      </c>
      <c r="M2952" t="s">
        <v>2616</v>
      </c>
    </row>
    <row r="2953" spans="1:14">
      <c r="A2953" s="1">
        <f>HYPERLINK("https://lsnyc.legalserver.org/matter/dynamic-profile/view/0825985","17-0825985")</f>
        <v>0</v>
      </c>
      <c r="B2953" t="s">
        <v>15</v>
      </c>
      <c r="C2953" t="s">
        <v>37</v>
      </c>
      <c r="D2953" t="s">
        <v>1106</v>
      </c>
      <c r="E2953" t="s">
        <v>2386</v>
      </c>
      <c r="F2953" t="s">
        <v>2437</v>
      </c>
      <c r="I2953" t="s">
        <v>2446</v>
      </c>
      <c r="J2953" t="s">
        <v>2452</v>
      </c>
      <c r="K2953" t="s">
        <v>2572</v>
      </c>
      <c r="L2953" t="s">
        <v>2603</v>
      </c>
      <c r="M2953" t="s">
        <v>2627</v>
      </c>
    </row>
    <row r="2954" spans="1:14">
      <c r="A2954" s="1">
        <f>HYPERLINK("https://lsnyc.legalserver.org/matter/dynamic-profile/view/0825385","17-0825385")</f>
        <v>0</v>
      </c>
      <c r="B2954" t="s">
        <v>14</v>
      </c>
      <c r="C2954" t="s">
        <v>20</v>
      </c>
      <c r="D2954" t="s">
        <v>2321</v>
      </c>
      <c r="E2954" t="s">
        <v>2381</v>
      </c>
      <c r="F2954" t="s">
        <v>2437</v>
      </c>
      <c r="I2954" t="s">
        <v>2446</v>
      </c>
      <c r="J2954" t="s">
        <v>2448</v>
      </c>
      <c r="K2954" t="s">
        <v>2569</v>
      </c>
      <c r="L2954" t="s">
        <v>2603</v>
      </c>
      <c r="M2954" t="s">
        <v>2622</v>
      </c>
    </row>
    <row r="2955" spans="1:14">
      <c r="A2955" s="1">
        <f>HYPERLINK("https://lsnyc.legalserver.org/matter/dynamic-profile/view/0825325","17-0825325")</f>
        <v>0</v>
      </c>
      <c r="B2955" t="s">
        <v>19</v>
      </c>
      <c r="C2955" t="s">
        <v>54</v>
      </c>
      <c r="D2955" t="s">
        <v>2322</v>
      </c>
      <c r="E2955" t="s">
        <v>2385</v>
      </c>
      <c r="F2955" t="s">
        <v>2438</v>
      </c>
      <c r="I2955" t="s">
        <v>2446</v>
      </c>
      <c r="J2955" t="s">
        <v>2450</v>
      </c>
      <c r="K2955" t="s">
        <v>2569</v>
      </c>
      <c r="M2955" t="s">
        <v>2616</v>
      </c>
    </row>
    <row r="2956" spans="1:14">
      <c r="A2956" s="1">
        <f>HYPERLINK("https://lsnyc.legalserver.org/matter/dynamic-profile/view/0824742","17-0824742")</f>
        <v>0</v>
      </c>
      <c r="B2956" t="s">
        <v>19</v>
      </c>
      <c r="C2956" t="s">
        <v>50</v>
      </c>
      <c r="D2956" t="s">
        <v>2323</v>
      </c>
      <c r="E2956" t="s">
        <v>2375</v>
      </c>
      <c r="F2956" t="s">
        <v>2437</v>
      </c>
      <c r="I2956" t="s">
        <v>2446</v>
      </c>
      <c r="J2956" t="s">
        <v>2471</v>
      </c>
      <c r="K2956" t="s">
        <v>2571</v>
      </c>
      <c r="M2956" t="s">
        <v>2617</v>
      </c>
    </row>
    <row r="2957" spans="1:14">
      <c r="A2957" s="1">
        <f>HYPERLINK("https://lsnyc.legalserver.org/matter/dynamic-profile/view/0824373","17-0824373")</f>
        <v>0</v>
      </c>
      <c r="B2957" t="s">
        <v>14</v>
      </c>
      <c r="C2957" t="s">
        <v>21</v>
      </c>
      <c r="D2957" t="s">
        <v>203</v>
      </c>
      <c r="E2957" t="s">
        <v>2391</v>
      </c>
      <c r="I2957" t="s">
        <v>2446</v>
      </c>
      <c r="J2957" t="s">
        <v>2450</v>
      </c>
      <c r="K2957" t="s">
        <v>2569</v>
      </c>
      <c r="L2957" t="s">
        <v>2603</v>
      </c>
      <c r="M2957" t="s">
        <v>2615</v>
      </c>
    </row>
    <row r="2958" spans="1:14">
      <c r="A2958" s="1">
        <f>HYPERLINK("https://lsnyc.legalserver.org/matter/dynamic-profile/view/0824366","17-0824366")</f>
        <v>0</v>
      </c>
      <c r="B2958" t="s">
        <v>14</v>
      </c>
      <c r="C2958" t="s">
        <v>21</v>
      </c>
      <c r="D2958" t="s">
        <v>202</v>
      </c>
      <c r="E2958" t="s">
        <v>2374</v>
      </c>
      <c r="F2958" t="s">
        <v>2438</v>
      </c>
      <c r="K2958" t="s">
        <v>2569</v>
      </c>
      <c r="L2958" t="s">
        <v>2600</v>
      </c>
      <c r="M2958" t="s">
        <v>2616</v>
      </c>
      <c r="N2958" t="s">
        <v>2649</v>
      </c>
    </row>
    <row r="2959" spans="1:14">
      <c r="A2959" s="1">
        <f>HYPERLINK("https://lsnyc.legalserver.org/matter/dynamic-profile/view/0824374","17-0824374")</f>
        <v>0</v>
      </c>
      <c r="B2959" t="s">
        <v>14</v>
      </c>
      <c r="C2959" t="s">
        <v>21</v>
      </c>
      <c r="D2959" t="s">
        <v>203</v>
      </c>
      <c r="E2959" t="s">
        <v>2412</v>
      </c>
      <c r="F2959" t="s">
        <v>2437</v>
      </c>
      <c r="K2959" t="s">
        <v>2569</v>
      </c>
      <c r="M2959" t="s">
        <v>2616</v>
      </c>
    </row>
    <row r="2960" spans="1:14">
      <c r="A2960" s="1">
        <f>HYPERLINK("https://lsnyc.legalserver.org/matter/dynamic-profile/view/0824182","17-0824182")</f>
        <v>0</v>
      </c>
      <c r="B2960" t="s">
        <v>17</v>
      </c>
      <c r="C2960" t="s">
        <v>28</v>
      </c>
      <c r="D2960" t="s">
        <v>2324</v>
      </c>
      <c r="E2960" t="s">
        <v>2375</v>
      </c>
      <c r="F2960" t="s">
        <v>2437</v>
      </c>
      <c r="I2960" t="s">
        <v>2446</v>
      </c>
      <c r="J2960" t="s">
        <v>2471</v>
      </c>
      <c r="K2960" t="s">
        <v>2571</v>
      </c>
      <c r="L2960" t="s">
        <v>2600</v>
      </c>
      <c r="M2960" t="s">
        <v>2617</v>
      </c>
    </row>
    <row r="2961" spans="1:14">
      <c r="A2961" s="1">
        <f>HYPERLINK("https://lsnyc.legalserver.org/matter/dynamic-profile/view/0823353","16-0823353")</f>
        <v>0</v>
      </c>
      <c r="B2961" t="s">
        <v>17</v>
      </c>
      <c r="C2961" t="s">
        <v>28</v>
      </c>
      <c r="D2961" t="s">
        <v>2325</v>
      </c>
      <c r="E2961" t="s">
        <v>2385</v>
      </c>
      <c r="F2961" t="s">
        <v>2438</v>
      </c>
      <c r="I2961" t="s">
        <v>2446</v>
      </c>
      <c r="J2961" t="s">
        <v>2450</v>
      </c>
      <c r="K2961" t="s">
        <v>2569</v>
      </c>
      <c r="L2961" t="s">
        <v>2600</v>
      </c>
      <c r="M2961" t="s">
        <v>2616</v>
      </c>
    </row>
    <row r="2962" spans="1:14">
      <c r="A2962" s="1">
        <f>HYPERLINK("https://lsnyc.legalserver.org/matter/dynamic-profile/view/0822528","16-0822528")</f>
        <v>0</v>
      </c>
      <c r="B2962" t="s">
        <v>16</v>
      </c>
      <c r="C2962" t="s">
        <v>23</v>
      </c>
      <c r="D2962" t="s">
        <v>1883</v>
      </c>
      <c r="E2962" t="s">
        <v>2387</v>
      </c>
      <c r="F2962" t="s">
        <v>2437</v>
      </c>
      <c r="I2962" t="s">
        <v>2446</v>
      </c>
      <c r="J2962" t="s">
        <v>2457</v>
      </c>
      <c r="K2962" t="s">
        <v>2569</v>
      </c>
      <c r="L2962" t="s">
        <v>2600</v>
      </c>
      <c r="M2962" t="s">
        <v>2629</v>
      </c>
    </row>
    <row r="2963" spans="1:14">
      <c r="A2963" s="1">
        <f>HYPERLINK("https://lsnyc.legalserver.org/matter/dynamic-profile/view/0822545","16-0822545")</f>
        <v>0</v>
      </c>
      <c r="B2963" t="s">
        <v>16</v>
      </c>
      <c r="C2963" t="s">
        <v>23</v>
      </c>
      <c r="D2963" t="s">
        <v>2326</v>
      </c>
      <c r="E2963" t="s">
        <v>2381</v>
      </c>
      <c r="F2963" t="s">
        <v>2437</v>
      </c>
      <c r="I2963" t="s">
        <v>2446</v>
      </c>
      <c r="J2963" t="s">
        <v>2465</v>
      </c>
      <c r="K2963" t="s">
        <v>2572</v>
      </c>
      <c r="L2963" t="s">
        <v>2601</v>
      </c>
      <c r="M2963" t="s">
        <v>2631</v>
      </c>
    </row>
    <row r="2964" spans="1:14">
      <c r="A2964" s="1">
        <f>HYPERLINK("https://lsnyc.legalserver.org/matter/dynamic-profile/view/0821375","16-0821375")</f>
        <v>0</v>
      </c>
      <c r="B2964" t="s">
        <v>17</v>
      </c>
      <c r="C2964" t="s">
        <v>28</v>
      </c>
      <c r="D2964" t="s">
        <v>2327</v>
      </c>
      <c r="E2964" t="s">
        <v>2385</v>
      </c>
      <c r="F2964" t="s">
        <v>2438</v>
      </c>
      <c r="I2964" t="s">
        <v>2446</v>
      </c>
      <c r="J2964" t="s">
        <v>2450</v>
      </c>
      <c r="K2964" t="s">
        <v>2569</v>
      </c>
      <c r="M2964" t="s">
        <v>2616</v>
      </c>
    </row>
    <row r="2965" spans="1:14">
      <c r="A2965" s="1">
        <f>HYPERLINK("https://lsnyc.legalserver.org/matter/dynamic-profile/view/0821475","16-0821475")</f>
        <v>0</v>
      </c>
      <c r="B2965" t="s">
        <v>17</v>
      </c>
      <c r="C2965" t="s">
        <v>28</v>
      </c>
      <c r="D2965" t="s">
        <v>2328</v>
      </c>
      <c r="E2965" t="s">
        <v>2385</v>
      </c>
      <c r="F2965" t="s">
        <v>2438</v>
      </c>
      <c r="I2965" t="s">
        <v>2446</v>
      </c>
      <c r="J2965" t="s">
        <v>2450</v>
      </c>
      <c r="K2965" t="s">
        <v>2569</v>
      </c>
      <c r="L2965" t="s">
        <v>2600</v>
      </c>
      <c r="M2965" t="s">
        <v>2616</v>
      </c>
    </row>
    <row r="2966" spans="1:14">
      <c r="A2966" s="1">
        <f>HYPERLINK("https://lsnyc.legalserver.org/matter/dynamic-profile/view/0821879","16-0821879")</f>
        <v>0</v>
      </c>
      <c r="B2966" t="s">
        <v>14</v>
      </c>
      <c r="C2966" t="s">
        <v>20</v>
      </c>
      <c r="D2966" t="s">
        <v>2329</v>
      </c>
      <c r="E2966" t="s">
        <v>2385</v>
      </c>
      <c r="F2966" t="s">
        <v>2438</v>
      </c>
      <c r="J2966" t="s">
        <v>2450</v>
      </c>
      <c r="K2966" t="s">
        <v>2569</v>
      </c>
      <c r="M2966" t="s">
        <v>2616</v>
      </c>
    </row>
    <row r="2967" spans="1:14">
      <c r="A2967" s="1">
        <f>HYPERLINK("https://lsnyc.legalserver.org/matter/dynamic-profile/view/0821784","16-0821784")</f>
        <v>0</v>
      </c>
      <c r="B2967" t="s">
        <v>15</v>
      </c>
      <c r="C2967" t="s">
        <v>46</v>
      </c>
      <c r="D2967" t="s">
        <v>2330</v>
      </c>
      <c r="E2967" t="s">
        <v>2390</v>
      </c>
      <c r="J2967" t="s">
        <v>2448</v>
      </c>
      <c r="K2967" t="s">
        <v>2569</v>
      </c>
      <c r="L2967" t="s">
        <v>2601</v>
      </c>
      <c r="M2967" t="s">
        <v>2631</v>
      </c>
    </row>
    <row r="2968" spans="1:14">
      <c r="A2968" s="1">
        <f>HYPERLINK("https://lsnyc.legalserver.org/matter/dynamic-profile/view/0821519","16-0821519")</f>
        <v>0</v>
      </c>
      <c r="B2968" t="s">
        <v>15</v>
      </c>
      <c r="C2968" t="s">
        <v>50</v>
      </c>
      <c r="D2968" t="s">
        <v>2331</v>
      </c>
      <c r="E2968" t="s">
        <v>2390</v>
      </c>
      <c r="J2968" t="s">
        <v>2448</v>
      </c>
      <c r="K2968" t="s">
        <v>2569</v>
      </c>
      <c r="L2968" t="s">
        <v>2601</v>
      </c>
      <c r="M2968" t="s">
        <v>2631</v>
      </c>
    </row>
    <row r="2969" spans="1:14">
      <c r="A2969" s="1">
        <f>HYPERLINK("https://lsnyc.legalserver.org/matter/dynamic-profile/view/0821553","16-0821553")</f>
        <v>0</v>
      </c>
      <c r="B2969" t="s">
        <v>19</v>
      </c>
      <c r="C2969" t="s">
        <v>54</v>
      </c>
      <c r="D2969" t="s">
        <v>1578</v>
      </c>
      <c r="E2969" t="s">
        <v>2370</v>
      </c>
      <c r="F2969" t="s">
        <v>2437</v>
      </c>
      <c r="I2969" t="s">
        <v>2446</v>
      </c>
      <c r="J2969" t="s">
        <v>2500</v>
      </c>
      <c r="K2969" t="s">
        <v>2572</v>
      </c>
      <c r="L2969" t="s">
        <v>2600</v>
      </c>
      <c r="M2969" t="s">
        <v>2638</v>
      </c>
    </row>
    <row r="2970" spans="1:14">
      <c r="A2970" s="1">
        <f>HYPERLINK("https://lsnyc.legalserver.org/matter/dynamic-profile/view/0821055","16-0821055")</f>
        <v>0</v>
      </c>
      <c r="B2970" t="s">
        <v>17</v>
      </c>
      <c r="C2970" t="s">
        <v>28</v>
      </c>
      <c r="D2970" t="s">
        <v>2332</v>
      </c>
      <c r="E2970" t="s">
        <v>2375</v>
      </c>
      <c r="F2970" t="s">
        <v>2437</v>
      </c>
      <c r="I2970" t="s">
        <v>2446</v>
      </c>
      <c r="J2970" t="s">
        <v>2471</v>
      </c>
      <c r="K2970" t="s">
        <v>2571</v>
      </c>
      <c r="L2970" t="s">
        <v>2600</v>
      </c>
      <c r="M2970" t="s">
        <v>2617</v>
      </c>
    </row>
    <row r="2971" spans="1:14">
      <c r="A2971" s="1">
        <f>HYPERLINK("https://lsnyc.legalserver.org/matter/dynamic-profile/view/0820866","16-0820866")</f>
        <v>0</v>
      </c>
      <c r="B2971" t="s">
        <v>16</v>
      </c>
      <c r="C2971" t="s">
        <v>23</v>
      </c>
      <c r="D2971" t="s">
        <v>2333</v>
      </c>
      <c r="E2971" t="s">
        <v>2390</v>
      </c>
      <c r="F2971" t="s">
        <v>2437</v>
      </c>
      <c r="K2971" t="s">
        <v>2572</v>
      </c>
      <c r="L2971" t="s">
        <v>2604</v>
      </c>
      <c r="M2971" t="s">
        <v>2619</v>
      </c>
    </row>
    <row r="2972" spans="1:14">
      <c r="A2972" s="1">
        <f>HYPERLINK("https://lsnyc.legalserver.org/matter/dynamic-profile/view/0787748","15-0787748")</f>
        <v>0</v>
      </c>
      <c r="B2972" t="s">
        <v>15</v>
      </c>
      <c r="C2972" t="s">
        <v>31</v>
      </c>
      <c r="D2972" t="s">
        <v>1816</v>
      </c>
      <c r="E2972" t="s">
        <v>2412</v>
      </c>
      <c r="F2972" t="s">
        <v>2437</v>
      </c>
      <c r="I2972" t="s">
        <v>2446</v>
      </c>
      <c r="J2972" t="s">
        <v>2455</v>
      </c>
      <c r="K2972" t="s">
        <v>2569</v>
      </c>
      <c r="L2972" t="s">
        <v>2604</v>
      </c>
      <c r="M2972" t="s">
        <v>2616</v>
      </c>
    </row>
    <row r="2973" spans="1:14">
      <c r="A2973" s="1">
        <f>HYPERLINK("https://lsnyc.legalserver.org/matter/dynamic-profile/view/0819697","16-0819697")</f>
        <v>0</v>
      </c>
      <c r="B2973" t="s">
        <v>17</v>
      </c>
      <c r="C2973" t="s">
        <v>28</v>
      </c>
      <c r="D2973" t="s">
        <v>2334</v>
      </c>
      <c r="E2973" t="s">
        <v>2375</v>
      </c>
      <c r="F2973" t="s">
        <v>2437</v>
      </c>
      <c r="I2973" t="s">
        <v>2446</v>
      </c>
      <c r="J2973" t="s">
        <v>2471</v>
      </c>
      <c r="K2973" t="s">
        <v>2571</v>
      </c>
      <c r="M2973" t="s">
        <v>2617</v>
      </c>
    </row>
    <row r="2974" spans="1:14">
      <c r="A2974" s="1">
        <f>HYPERLINK("https://lsnyc.legalserver.org/matter/dynamic-profile/view/0819602","16-0819602")</f>
        <v>0</v>
      </c>
      <c r="B2974" t="s">
        <v>19</v>
      </c>
      <c r="C2974" t="s">
        <v>50</v>
      </c>
      <c r="D2974" t="s">
        <v>2335</v>
      </c>
      <c r="E2974" t="s">
        <v>2375</v>
      </c>
      <c r="F2974" t="s">
        <v>2437</v>
      </c>
      <c r="J2974" t="s">
        <v>2471</v>
      </c>
      <c r="K2974" t="s">
        <v>2571</v>
      </c>
      <c r="L2974" t="s">
        <v>2605</v>
      </c>
      <c r="M2974" t="s">
        <v>2617</v>
      </c>
      <c r="N2974" t="s">
        <v>2648</v>
      </c>
    </row>
    <row r="2975" spans="1:14">
      <c r="A2975" s="1">
        <f>HYPERLINK("https://lsnyc.legalserver.org/matter/dynamic-profile/view/0819491","16-0819491")</f>
        <v>0</v>
      </c>
      <c r="B2975" t="s">
        <v>19</v>
      </c>
      <c r="C2975" t="s">
        <v>50</v>
      </c>
      <c r="D2975" t="s">
        <v>2336</v>
      </c>
      <c r="E2975" t="s">
        <v>2391</v>
      </c>
      <c r="F2975" t="s">
        <v>2437</v>
      </c>
      <c r="I2975" t="s">
        <v>2446</v>
      </c>
      <c r="J2975" t="s">
        <v>2471</v>
      </c>
      <c r="K2975" t="s">
        <v>2571</v>
      </c>
      <c r="M2975" t="s">
        <v>2615</v>
      </c>
    </row>
    <row r="2976" spans="1:14">
      <c r="A2976" s="1">
        <f>HYPERLINK("https://lsnyc.legalserver.org/matter/dynamic-profile/view/0819558","16-0819558")</f>
        <v>0</v>
      </c>
      <c r="B2976" t="s">
        <v>19</v>
      </c>
      <c r="C2976" t="s">
        <v>50</v>
      </c>
      <c r="D2976" t="s">
        <v>2337</v>
      </c>
      <c r="E2976" t="s">
        <v>2375</v>
      </c>
      <c r="F2976" t="s">
        <v>2437</v>
      </c>
      <c r="I2976" t="s">
        <v>2446</v>
      </c>
      <c r="J2976" t="s">
        <v>2471</v>
      </c>
      <c r="K2976" t="s">
        <v>2571</v>
      </c>
      <c r="L2976" t="s">
        <v>2600</v>
      </c>
      <c r="M2976" t="s">
        <v>2617</v>
      </c>
    </row>
    <row r="2977" spans="1:14">
      <c r="A2977" s="1">
        <f>HYPERLINK("https://lsnyc.legalserver.org/matter/dynamic-profile/view/0819585","16-0819585")</f>
        <v>0</v>
      </c>
      <c r="B2977" t="s">
        <v>19</v>
      </c>
      <c r="C2977" t="s">
        <v>50</v>
      </c>
      <c r="D2977" t="s">
        <v>2338</v>
      </c>
      <c r="E2977" t="s">
        <v>2375</v>
      </c>
      <c r="F2977" t="s">
        <v>2437</v>
      </c>
      <c r="I2977" t="s">
        <v>2446</v>
      </c>
      <c r="J2977" t="s">
        <v>2471</v>
      </c>
      <c r="K2977" t="s">
        <v>2571</v>
      </c>
      <c r="L2977" t="s">
        <v>2600</v>
      </c>
      <c r="M2977" t="s">
        <v>2617</v>
      </c>
    </row>
    <row r="2978" spans="1:14">
      <c r="A2978" s="1">
        <f>HYPERLINK("https://lsnyc.legalserver.org/matter/dynamic-profile/view/0819254","16-0819254")</f>
        <v>0</v>
      </c>
      <c r="B2978" t="s">
        <v>14</v>
      </c>
      <c r="C2978" t="s">
        <v>26</v>
      </c>
      <c r="D2978" t="s">
        <v>369</v>
      </c>
      <c r="E2978" t="s">
        <v>2385</v>
      </c>
      <c r="F2978" t="s">
        <v>2438</v>
      </c>
      <c r="I2978" t="s">
        <v>2446</v>
      </c>
      <c r="J2978" t="s">
        <v>2449</v>
      </c>
      <c r="K2978" t="s">
        <v>2569</v>
      </c>
      <c r="M2978" t="s">
        <v>2616</v>
      </c>
    </row>
    <row r="2979" spans="1:14">
      <c r="A2979" s="1">
        <f>HYPERLINK("https://lsnyc.legalserver.org/matter/dynamic-profile/view/0817419","16-0817419")</f>
        <v>0</v>
      </c>
      <c r="B2979" t="s">
        <v>15</v>
      </c>
      <c r="C2979" t="s">
        <v>37</v>
      </c>
      <c r="D2979" t="s">
        <v>2078</v>
      </c>
      <c r="E2979" t="s">
        <v>2374</v>
      </c>
      <c r="F2979" t="s">
        <v>2438</v>
      </c>
      <c r="J2979" t="s">
        <v>2450</v>
      </c>
      <c r="K2979" t="s">
        <v>2569</v>
      </c>
      <c r="M2979" t="s">
        <v>2616</v>
      </c>
    </row>
    <row r="2980" spans="1:14">
      <c r="A2980" s="1">
        <f>HYPERLINK("https://lsnyc.legalserver.org/matter/dynamic-profile/view/0817315","16-0817315")</f>
        <v>0</v>
      </c>
      <c r="B2980" t="s">
        <v>17</v>
      </c>
      <c r="C2980" t="s">
        <v>28</v>
      </c>
      <c r="D2980" t="s">
        <v>1916</v>
      </c>
      <c r="E2980" t="s">
        <v>2373</v>
      </c>
      <c r="F2980" t="s">
        <v>2441</v>
      </c>
      <c r="J2980" t="s">
        <v>2465</v>
      </c>
      <c r="K2980" t="s">
        <v>2569</v>
      </c>
      <c r="L2980" t="s">
        <v>2603</v>
      </c>
      <c r="M2980" t="s">
        <v>2615</v>
      </c>
    </row>
    <row r="2981" spans="1:14">
      <c r="A2981" s="1">
        <f>HYPERLINK("https://lsnyc.legalserver.org/matter/dynamic-profile/view/0817317","16-0817317")</f>
        <v>0</v>
      </c>
      <c r="B2981" t="s">
        <v>17</v>
      </c>
      <c r="C2981" t="s">
        <v>28</v>
      </c>
      <c r="D2981" t="s">
        <v>1917</v>
      </c>
      <c r="E2981" t="s">
        <v>2373</v>
      </c>
      <c r="F2981" t="s">
        <v>2441</v>
      </c>
      <c r="J2981" t="s">
        <v>2465</v>
      </c>
      <c r="K2981" t="s">
        <v>2569</v>
      </c>
      <c r="L2981" t="s">
        <v>2603</v>
      </c>
      <c r="M2981" t="s">
        <v>2615</v>
      </c>
    </row>
    <row r="2982" spans="1:14">
      <c r="A2982" s="1">
        <f>HYPERLINK("https://lsnyc.legalserver.org/matter/dynamic-profile/view/0816320","16-0816320")</f>
        <v>0</v>
      </c>
      <c r="B2982" t="s">
        <v>14</v>
      </c>
      <c r="C2982" t="s">
        <v>20</v>
      </c>
      <c r="D2982" t="s">
        <v>1660</v>
      </c>
      <c r="E2982" t="s">
        <v>2429</v>
      </c>
      <c r="F2982" t="s">
        <v>2437</v>
      </c>
      <c r="J2982" t="s">
        <v>2448</v>
      </c>
      <c r="K2982" t="s">
        <v>2569</v>
      </c>
      <c r="L2982" t="s">
        <v>2608</v>
      </c>
      <c r="M2982" t="s">
        <v>2626</v>
      </c>
    </row>
    <row r="2983" spans="1:14">
      <c r="A2983" s="1">
        <f>HYPERLINK("https://lsnyc.legalserver.org/matter/dynamic-profile/view/0816343","16-0816343")</f>
        <v>0</v>
      </c>
      <c r="B2983" t="s">
        <v>17</v>
      </c>
      <c r="C2983" t="s">
        <v>28</v>
      </c>
      <c r="D2983" t="s">
        <v>2339</v>
      </c>
      <c r="E2983" t="s">
        <v>2374</v>
      </c>
      <c r="F2983" t="s">
        <v>2438</v>
      </c>
      <c r="I2983" t="s">
        <v>2446</v>
      </c>
      <c r="J2983" t="s">
        <v>2465</v>
      </c>
      <c r="K2983" t="s">
        <v>2569</v>
      </c>
      <c r="M2983" t="s">
        <v>2616</v>
      </c>
    </row>
    <row r="2984" spans="1:14">
      <c r="A2984" s="1">
        <f>HYPERLINK("https://lsnyc.legalserver.org/matter/dynamic-profile/view/0815289","16-0815289")</f>
        <v>0</v>
      </c>
      <c r="B2984" t="s">
        <v>14</v>
      </c>
      <c r="C2984" t="s">
        <v>20</v>
      </c>
      <c r="D2984" t="s">
        <v>2329</v>
      </c>
      <c r="E2984" t="s">
        <v>2374</v>
      </c>
      <c r="F2984" t="s">
        <v>2438</v>
      </c>
      <c r="J2984" t="s">
        <v>2450</v>
      </c>
      <c r="K2984" t="s">
        <v>2569</v>
      </c>
      <c r="L2984" t="s">
        <v>2600</v>
      </c>
      <c r="M2984" t="s">
        <v>2616</v>
      </c>
      <c r="N2984" t="s">
        <v>2649</v>
      </c>
    </row>
    <row r="2985" spans="1:14">
      <c r="A2985" s="1">
        <f>HYPERLINK("https://lsnyc.legalserver.org/matter/dynamic-profile/view/0814467","16-0814467")</f>
        <v>0</v>
      </c>
      <c r="B2985" t="s">
        <v>14</v>
      </c>
      <c r="C2985" t="s">
        <v>20</v>
      </c>
      <c r="D2985" t="s">
        <v>1019</v>
      </c>
      <c r="E2985" t="s">
        <v>2374</v>
      </c>
      <c r="F2985" t="s">
        <v>2438</v>
      </c>
      <c r="I2985" t="s">
        <v>2446</v>
      </c>
      <c r="J2985" t="s">
        <v>2450</v>
      </c>
      <c r="K2985" t="s">
        <v>2569</v>
      </c>
      <c r="L2985" t="s">
        <v>2600</v>
      </c>
      <c r="M2985" t="s">
        <v>2616</v>
      </c>
    </row>
    <row r="2986" spans="1:14">
      <c r="A2986" s="1">
        <f>HYPERLINK("https://lsnyc.legalserver.org/matter/dynamic-profile/view/0813689","16-0813689")</f>
        <v>0</v>
      </c>
      <c r="B2986" t="s">
        <v>14</v>
      </c>
      <c r="C2986" t="s">
        <v>20</v>
      </c>
      <c r="D2986" t="s">
        <v>868</v>
      </c>
      <c r="E2986" t="s">
        <v>2387</v>
      </c>
      <c r="F2986" t="s">
        <v>2437</v>
      </c>
      <c r="I2986" t="s">
        <v>2446</v>
      </c>
      <c r="J2986" t="s">
        <v>2450</v>
      </c>
      <c r="K2986" t="s">
        <v>2569</v>
      </c>
      <c r="L2986" t="s">
        <v>2600</v>
      </c>
      <c r="M2986" t="s">
        <v>2629</v>
      </c>
    </row>
    <row r="2987" spans="1:14">
      <c r="A2987" s="1">
        <f>HYPERLINK("https://lsnyc.legalserver.org/matter/dynamic-profile/view/0813462","16-0813462")</f>
        <v>0</v>
      </c>
      <c r="B2987" t="s">
        <v>19</v>
      </c>
      <c r="C2987" t="s">
        <v>54</v>
      </c>
      <c r="D2987" t="s">
        <v>2340</v>
      </c>
      <c r="E2987" t="s">
        <v>2390</v>
      </c>
      <c r="F2987" t="s">
        <v>2440</v>
      </c>
      <c r="I2987" t="s">
        <v>2446</v>
      </c>
      <c r="J2987" t="s">
        <v>2453</v>
      </c>
      <c r="K2987" t="s">
        <v>2572</v>
      </c>
      <c r="L2987" t="s">
        <v>2601</v>
      </c>
      <c r="M2987" t="s">
        <v>2631</v>
      </c>
    </row>
    <row r="2988" spans="1:14">
      <c r="A2988" s="1">
        <f>HYPERLINK("https://lsnyc.legalserver.org/matter/dynamic-profile/view/0811496","16-0811496")</f>
        <v>0</v>
      </c>
      <c r="B2988" t="s">
        <v>17</v>
      </c>
      <c r="C2988" t="s">
        <v>56</v>
      </c>
      <c r="D2988" t="s">
        <v>2341</v>
      </c>
      <c r="E2988" t="s">
        <v>2387</v>
      </c>
      <c r="F2988" t="s">
        <v>2437</v>
      </c>
      <c r="I2988" t="s">
        <v>2446</v>
      </c>
      <c r="J2988" t="s">
        <v>2457</v>
      </c>
      <c r="K2988" t="s">
        <v>2569</v>
      </c>
      <c r="L2988" t="s">
        <v>2600</v>
      </c>
      <c r="M2988" t="s">
        <v>2629</v>
      </c>
    </row>
    <row r="2989" spans="1:14">
      <c r="A2989" s="1">
        <f>HYPERLINK("https://lsnyc.legalserver.org/matter/dynamic-profile/view/0812450","16-0812450")</f>
        <v>0</v>
      </c>
      <c r="B2989" t="s">
        <v>17</v>
      </c>
      <c r="C2989" t="s">
        <v>42</v>
      </c>
      <c r="D2989" t="s">
        <v>2342</v>
      </c>
      <c r="E2989" t="s">
        <v>2375</v>
      </c>
      <c r="F2989" t="s">
        <v>2437</v>
      </c>
      <c r="I2989" t="s">
        <v>2446</v>
      </c>
      <c r="J2989" t="s">
        <v>2471</v>
      </c>
      <c r="K2989" t="s">
        <v>2571</v>
      </c>
      <c r="L2989" t="s">
        <v>2600</v>
      </c>
      <c r="M2989" t="s">
        <v>2617</v>
      </c>
    </row>
    <row r="2990" spans="1:14">
      <c r="A2990" s="1">
        <f>HYPERLINK("https://lsnyc.legalserver.org/matter/dynamic-profile/view/0810288","16-0810288")</f>
        <v>0</v>
      </c>
      <c r="B2990" t="s">
        <v>17</v>
      </c>
      <c r="C2990" t="s">
        <v>28</v>
      </c>
      <c r="D2990" t="s">
        <v>2343</v>
      </c>
      <c r="E2990" t="s">
        <v>2385</v>
      </c>
      <c r="F2990" t="s">
        <v>2438</v>
      </c>
      <c r="I2990" t="s">
        <v>2446</v>
      </c>
      <c r="J2990" t="s">
        <v>2450</v>
      </c>
      <c r="K2990" t="s">
        <v>2569</v>
      </c>
      <c r="L2990" t="s">
        <v>2600</v>
      </c>
      <c r="M2990" t="s">
        <v>2616</v>
      </c>
    </row>
    <row r="2991" spans="1:14">
      <c r="A2991" s="1">
        <f>HYPERLINK("https://lsnyc.legalserver.org/matter/dynamic-profile/view/0809706","16-0809706")</f>
        <v>0</v>
      </c>
      <c r="B2991" t="s">
        <v>15</v>
      </c>
      <c r="C2991" t="s">
        <v>31</v>
      </c>
      <c r="D2991" t="s">
        <v>2344</v>
      </c>
      <c r="E2991" t="s">
        <v>2370</v>
      </c>
      <c r="F2991" t="s">
        <v>2437</v>
      </c>
      <c r="J2991" t="s">
        <v>2461</v>
      </c>
      <c r="K2991" t="s">
        <v>2592</v>
      </c>
      <c r="M2991" t="s">
        <v>2638</v>
      </c>
    </row>
    <row r="2992" spans="1:14">
      <c r="A2992" s="1">
        <f>HYPERLINK("https://lsnyc.legalserver.org/matter/dynamic-profile/view/0809497","16-0809497")</f>
        <v>0</v>
      </c>
      <c r="B2992" t="s">
        <v>17</v>
      </c>
      <c r="C2992" t="s">
        <v>28</v>
      </c>
      <c r="D2992" t="s">
        <v>2345</v>
      </c>
      <c r="E2992" t="s">
        <v>2373</v>
      </c>
      <c r="F2992" t="s">
        <v>2441</v>
      </c>
      <c r="J2992" t="s">
        <v>2454</v>
      </c>
      <c r="K2992" t="s">
        <v>2572</v>
      </c>
      <c r="L2992" t="s">
        <v>2603</v>
      </c>
      <c r="M2992" t="s">
        <v>2615</v>
      </c>
    </row>
    <row r="2993" spans="1:13">
      <c r="A2993" s="1">
        <f>HYPERLINK("https://lsnyc.legalserver.org/matter/dynamic-profile/view/0809501","16-0809501")</f>
        <v>0</v>
      </c>
      <c r="B2993" t="s">
        <v>17</v>
      </c>
      <c r="C2993" t="s">
        <v>28</v>
      </c>
      <c r="D2993" t="s">
        <v>1227</v>
      </c>
      <c r="E2993" t="s">
        <v>2373</v>
      </c>
      <c r="F2993" t="s">
        <v>2441</v>
      </c>
      <c r="J2993" t="s">
        <v>2454</v>
      </c>
      <c r="K2993" t="s">
        <v>2572</v>
      </c>
      <c r="L2993" t="s">
        <v>2603</v>
      </c>
      <c r="M2993" t="s">
        <v>2615</v>
      </c>
    </row>
    <row r="2994" spans="1:13">
      <c r="A2994" s="1">
        <f>HYPERLINK("https://lsnyc.legalserver.org/matter/dynamic-profile/view/0808634","16-0808634")</f>
        <v>0</v>
      </c>
      <c r="B2994" t="s">
        <v>14</v>
      </c>
      <c r="C2994" t="s">
        <v>20</v>
      </c>
      <c r="D2994" t="s">
        <v>2346</v>
      </c>
      <c r="E2994" t="s">
        <v>2387</v>
      </c>
      <c r="F2994" t="s">
        <v>2437</v>
      </c>
      <c r="I2994" t="s">
        <v>2446</v>
      </c>
      <c r="J2994" t="s">
        <v>2457</v>
      </c>
      <c r="K2994" t="s">
        <v>2569</v>
      </c>
      <c r="L2994" t="s">
        <v>2600</v>
      </c>
      <c r="M2994" t="s">
        <v>2629</v>
      </c>
    </row>
    <row r="2995" spans="1:13">
      <c r="A2995" s="1">
        <f>HYPERLINK("https://lsnyc.legalserver.org/matter/dynamic-profile/view/1846137","17-1846137")</f>
        <v>0</v>
      </c>
      <c r="B2995" t="s">
        <v>19</v>
      </c>
      <c r="C2995" t="s">
        <v>54</v>
      </c>
      <c r="D2995" t="s">
        <v>2347</v>
      </c>
      <c r="E2995" t="s">
        <v>2385</v>
      </c>
      <c r="F2995" t="s">
        <v>2438</v>
      </c>
      <c r="I2995" t="s">
        <v>2446</v>
      </c>
      <c r="J2995" t="s">
        <v>2543</v>
      </c>
      <c r="K2995" t="s">
        <v>2579</v>
      </c>
      <c r="L2995" t="s">
        <v>2601</v>
      </c>
      <c r="M2995" t="s">
        <v>2631</v>
      </c>
    </row>
    <row r="2996" spans="1:13">
      <c r="A2996" s="1">
        <f>HYPERLINK("https://lsnyc.legalserver.org/matter/dynamic-profile/view/0806971","16-0806971")</f>
        <v>0</v>
      </c>
      <c r="B2996" t="s">
        <v>15</v>
      </c>
      <c r="C2996" t="s">
        <v>30</v>
      </c>
      <c r="D2996" t="s">
        <v>698</v>
      </c>
      <c r="E2996" t="s">
        <v>2375</v>
      </c>
      <c r="F2996" t="s">
        <v>2437</v>
      </c>
      <c r="I2996" t="s">
        <v>2446</v>
      </c>
      <c r="J2996" t="s">
        <v>2488</v>
      </c>
      <c r="K2996" t="s">
        <v>2569</v>
      </c>
      <c r="M2996" t="s">
        <v>2617</v>
      </c>
    </row>
    <row r="2997" spans="1:13">
      <c r="A2997" s="1">
        <f>HYPERLINK("https://lsnyc.legalserver.org/matter/dynamic-profile/view/0802083","16-0802083")</f>
        <v>0</v>
      </c>
      <c r="B2997" t="s">
        <v>19</v>
      </c>
      <c r="C2997" t="s">
        <v>50</v>
      </c>
      <c r="D2997" t="s">
        <v>925</v>
      </c>
      <c r="E2997" t="s">
        <v>2374</v>
      </c>
      <c r="F2997" t="s">
        <v>2438</v>
      </c>
      <c r="J2997" t="s">
        <v>2458</v>
      </c>
      <c r="K2997" t="s">
        <v>2569</v>
      </c>
      <c r="L2997" t="s">
        <v>2603</v>
      </c>
      <c r="M2997" t="s">
        <v>2616</v>
      </c>
    </row>
    <row r="2998" spans="1:13">
      <c r="A2998" s="1">
        <f>HYPERLINK("https://lsnyc.legalserver.org/matter/dynamic-profile/view/0800944","16-0800944")</f>
        <v>0</v>
      </c>
      <c r="B2998" t="s">
        <v>18</v>
      </c>
      <c r="C2998" t="s">
        <v>34</v>
      </c>
      <c r="D2998" t="s">
        <v>835</v>
      </c>
      <c r="E2998" t="s">
        <v>2374</v>
      </c>
      <c r="F2998" t="s">
        <v>2438</v>
      </c>
      <c r="J2998" t="s">
        <v>2471</v>
      </c>
      <c r="K2998" t="s">
        <v>2572</v>
      </c>
      <c r="L2998" t="s">
        <v>2603</v>
      </c>
      <c r="M2998" t="s">
        <v>2626</v>
      </c>
    </row>
    <row r="2999" spans="1:13">
      <c r="A2999" s="1">
        <f>HYPERLINK("https://lsnyc.legalserver.org/matter/dynamic-profile/view/0797890","16-0797890")</f>
        <v>0</v>
      </c>
      <c r="B2999" t="s">
        <v>14</v>
      </c>
      <c r="C2999" t="s">
        <v>21</v>
      </c>
      <c r="D2999" t="s">
        <v>1784</v>
      </c>
      <c r="E2999" t="s">
        <v>2385</v>
      </c>
      <c r="F2999" t="s">
        <v>2438</v>
      </c>
      <c r="I2999" t="s">
        <v>2446</v>
      </c>
      <c r="J2999" t="s">
        <v>2447</v>
      </c>
      <c r="K2999" t="s">
        <v>2569</v>
      </c>
      <c r="L2999" t="s">
        <v>2603</v>
      </c>
      <c r="M2999" t="s">
        <v>2616</v>
      </c>
    </row>
    <row r="3000" spans="1:13">
      <c r="A3000" s="1">
        <f>HYPERLINK("https://lsnyc.legalserver.org/matter/dynamic-profile/view/0797867","16-0797867")</f>
        <v>0</v>
      </c>
      <c r="B3000" t="s">
        <v>15</v>
      </c>
      <c r="C3000" t="s">
        <v>37</v>
      </c>
      <c r="D3000" t="s">
        <v>2029</v>
      </c>
      <c r="E3000" t="s">
        <v>2385</v>
      </c>
      <c r="F3000" t="s">
        <v>2438</v>
      </c>
      <c r="J3000" t="s">
        <v>2450</v>
      </c>
      <c r="K3000" t="s">
        <v>2569</v>
      </c>
      <c r="M3000" t="s">
        <v>2616</v>
      </c>
    </row>
    <row r="3001" spans="1:13">
      <c r="A3001" s="1">
        <f>HYPERLINK("https://lsnyc.legalserver.org/matter/dynamic-profile/view/0796005","16-0796005")</f>
        <v>0</v>
      </c>
      <c r="B3001" t="s">
        <v>14</v>
      </c>
      <c r="C3001" t="s">
        <v>20</v>
      </c>
      <c r="D3001" t="s">
        <v>1119</v>
      </c>
      <c r="E3001" t="s">
        <v>2374</v>
      </c>
      <c r="F3001" t="s">
        <v>2438</v>
      </c>
      <c r="I3001" t="s">
        <v>2446</v>
      </c>
      <c r="J3001" t="s">
        <v>2504</v>
      </c>
      <c r="K3001" t="s">
        <v>2572</v>
      </c>
      <c r="L3001" t="s">
        <v>2603</v>
      </c>
      <c r="M3001" t="s">
        <v>2626</v>
      </c>
    </row>
    <row r="3002" spans="1:13">
      <c r="A3002" s="1">
        <f>HYPERLINK("https://lsnyc.legalserver.org/matter/dynamic-profile/view/0793862","15-0793862")</f>
        <v>0</v>
      </c>
      <c r="B3002" t="s">
        <v>16</v>
      </c>
      <c r="C3002" t="s">
        <v>23</v>
      </c>
      <c r="D3002" t="s">
        <v>2348</v>
      </c>
      <c r="E3002" t="s">
        <v>2385</v>
      </c>
      <c r="F3002" t="s">
        <v>2438</v>
      </c>
      <c r="J3002" t="s">
        <v>2498</v>
      </c>
      <c r="K3002" t="s">
        <v>2586</v>
      </c>
      <c r="M3002" t="s">
        <v>2616</v>
      </c>
    </row>
    <row r="3003" spans="1:13">
      <c r="A3003" s="1">
        <f>HYPERLINK("https://lsnyc.legalserver.org/matter/dynamic-profile/view/0792319","15-0792319")</f>
        <v>0</v>
      </c>
      <c r="B3003" t="s">
        <v>18</v>
      </c>
      <c r="C3003" t="s">
        <v>35</v>
      </c>
      <c r="D3003" t="s">
        <v>1839</v>
      </c>
      <c r="E3003" t="s">
        <v>2429</v>
      </c>
      <c r="F3003" t="s">
        <v>2437</v>
      </c>
      <c r="J3003" t="s">
        <v>2474</v>
      </c>
      <c r="K3003" t="s">
        <v>2572</v>
      </c>
      <c r="L3003" t="s">
        <v>2603</v>
      </c>
      <c r="M3003" t="s">
        <v>2626</v>
      </c>
    </row>
    <row r="3004" spans="1:13">
      <c r="A3004" s="1">
        <f>HYPERLINK("https://lsnyc.legalserver.org/matter/dynamic-profile/view/0790717","15-0790717")</f>
        <v>0</v>
      </c>
      <c r="B3004" t="s">
        <v>18</v>
      </c>
      <c r="C3004" t="s">
        <v>34</v>
      </c>
      <c r="D3004" t="s">
        <v>2349</v>
      </c>
      <c r="E3004" t="s">
        <v>2387</v>
      </c>
      <c r="F3004" t="s">
        <v>2439</v>
      </c>
      <c r="K3004" t="s">
        <v>2572</v>
      </c>
      <c r="L3004" t="s">
        <v>2604</v>
      </c>
      <c r="M3004" t="s">
        <v>2629</v>
      </c>
    </row>
    <row r="3005" spans="1:13">
      <c r="A3005" s="1">
        <f>HYPERLINK("https://lsnyc.legalserver.org/matter/dynamic-profile/view/0791292","15-0791292")</f>
        <v>0</v>
      </c>
      <c r="B3005" t="s">
        <v>18</v>
      </c>
      <c r="C3005" t="s">
        <v>53</v>
      </c>
      <c r="D3005" t="s">
        <v>2350</v>
      </c>
      <c r="E3005" t="s">
        <v>2387</v>
      </c>
      <c r="F3005" t="s">
        <v>2440</v>
      </c>
      <c r="I3005" t="s">
        <v>2446</v>
      </c>
      <c r="J3005" t="s">
        <v>2457</v>
      </c>
      <c r="K3005" t="s">
        <v>2569</v>
      </c>
      <c r="L3005" t="s">
        <v>2601</v>
      </c>
      <c r="M3005" t="s">
        <v>2641</v>
      </c>
    </row>
    <row r="3006" spans="1:13">
      <c r="A3006" s="1">
        <f>HYPERLINK("https://lsnyc.legalserver.org/matter/dynamic-profile/view/0790424","15-0790424")</f>
        <v>0</v>
      </c>
      <c r="B3006" t="s">
        <v>17</v>
      </c>
      <c r="C3006" t="s">
        <v>56</v>
      </c>
      <c r="D3006" t="s">
        <v>2351</v>
      </c>
      <c r="E3006" t="s">
        <v>2394</v>
      </c>
      <c r="F3006" t="s">
        <v>2437</v>
      </c>
      <c r="I3006" t="s">
        <v>2446</v>
      </c>
      <c r="J3006" t="s">
        <v>2485</v>
      </c>
      <c r="K3006" t="s">
        <v>2572</v>
      </c>
      <c r="L3006" t="s">
        <v>2600</v>
      </c>
      <c r="M3006" t="s">
        <v>2627</v>
      </c>
    </row>
    <row r="3007" spans="1:13">
      <c r="A3007" s="1">
        <f>HYPERLINK("https://lsnyc.legalserver.org/matter/dynamic-profile/view/0785039","15-0785039")</f>
        <v>0</v>
      </c>
      <c r="B3007" t="s">
        <v>18</v>
      </c>
      <c r="C3007" t="s">
        <v>34</v>
      </c>
      <c r="D3007" t="s">
        <v>2352</v>
      </c>
      <c r="E3007" t="s">
        <v>2387</v>
      </c>
      <c r="F3007" t="s">
        <v>2437</v>
      </c>
      <c r="I3007" t="s">
        <v>2446</v>
      </c>
      <c r="J3007" t="s">
        <v>2499</v>
      </c>
      <c r="K3007" t="s">
        <v>2572</v>
      </c>
      <c r="M3007" t="s">
        <v>2629</v>
      </c>
    </row>
    <row r="3008" spans="1:13">
      <c r="A3008" s="1">
        <f>HYPERLINK("https://lsnyc.legalserver.org/matter/dynamic-profile/view/0787488","15-0787488")</f>
        <v>0</v>
      </c>
      <c r="B3008" t="s">
        <v>18</v>
      </c>
      <c r="C3008" t="s">
        <v>34</v>
      </c>
      <c r="D3008" t="s">
        <v>2353</v>
      </c>
      <c r="E3008" t="s">
        <v>2387</v>
      </c>
      <c r="F3008" t="s">
        <v>2438</v>
      </c>
      <c r="I3008" t="s">
        <v>2446</v>
      </c>
      <c r="J3008" t="s">
        <v>2457</v>
      </c>
      <c r="K3008" t="s">
        <v>2569</v>
      </c>
      <c r="M3008" t="s">
        <v>2629</v>
      </c>
    </row>
    <row r="3009" spans="1:14">
      <c r="A3009" s="1">
        <f>HYPERLINK("https://lsnyc.legalserver.org/matter/dynamic-profile/view/0784380","15-0784380")</f>
        <v>0</v>
      </c>
      <c r="B3009" t="s">
        <v>18</v>
      </c>
      <c r="C3009" t="s">
        <v>34</v>
      </c>
      <c r="D3009" t="s">
        <v>2354</v>
      </c>
      <c r="E3009" t="s">
        <v>2383</v>
      </c>
      <c r="F3009" t="s">
        <v>2438</v>
      </c>
      <c r="J3009" t="s">
        <v>2450</v>
      </c>
      <c r="K3009" t="s">
        <v>2569</v>
      </c>
      <c r="L3009" t="s">
        <v>2602</v>
      </c>
      <c r="M3009" t="s">
        <v>2626</v>
      </c>
    </row>
    <row r="3010" spans="1:14">
      <c r="A3010" s="1">
        <f>HYPERLINK("https://lsnyc.legalserver.org/matter/dynamic-profile/view/0777702","15-0777702")</f>
        <v>0</v>
      </c>
      <c r="B3010" t="s">
        <v>19</v>
      </c>
      <c r="C3010" t="s">
        <v>50</v>
      </c>
      <c r="D3010" t="s">
        <v>931</v>
      </c>
      <c r="E3010" t="s">
        <v>2375</v>
      </c>
      <c r="F3010" t="s">
        <v>2437</v>
      </c>
      <c r="I3010" t="s">
        <v>2446</v>
      </c>
      <c r="J3010" t="s">
        <v>2454</v>
      </c>
      <c r="K3010" t="s">
        <v>2572</v>
      </c>
      <c r="L3010" t="s">
        <v>2604</v>
      </c>
      <c r="M3010" t="s">
        <v>2617</v>
      </c>
    </row>
    <row r="3011" spans="1:14">
      <c r="A3011" s="1">
        <f>HYPERLINK("https://lsnyc.legalserver.org/matter/dynamic-profile/view/0781442","15-0781442")</f>
        <v>0</v>
      </c>
      <c r="B3011" t="s">
        <v>18</v>
      </c>
      <c r="C3011" t="s">
        <v>34</v>
      </c>
      <c r="D3011" t="s">
        <v>2355</v>
      </c>
      <c r="E3011" t="s">
        <v>2383</v>
      </c>
      <c r="F3011" t="s">
        <v>2437</v>
      </c>
      <c r="J3011" t="s">
        <v>2568</v>
      </c>
      <c r="K3011" t="s">
        <v>2572</v>
      </c>
      <c r="M3011" t="s">
        <v>2624</v>
      </c>
      <c r="N3011" t="s">
        <v>2648</v>
      </c>
    </row>
    <row r="3012" spans="1:14">
      <c r="A3012" s="1">
        <f>HYPERLINK("https://lsnyc.legalserver.org/matter/dynamic-profile/view/0781443","15-0781443")</f>
        <v>0</v>
      </c>
      <c r="B3012" t="s">
        <v>14</v>
      </c>
      <c r="C3012" t="s">
        <v>20</v>
      </c>
      <c r="D3012" t="s">
        <v>894</v>
      </c>
      <c r="E3012" t="s">
        <v>2412</v>
      </c>
      <c r="F3012" t="s">
        <v>2438</v>
      </c>
      <c r="J3012" t="s">
        <v>2457</v>
      </c>
      <c r="K3012" t="s">
        <v>2569</v>
      </c>
      <c r="L3012" t="s">
        <v>2600</v>
      </c>
      <c r="M3012" t="s">
        <v>2616</v>
      </c>
    </row>
    <row r="3013" spans="1:14">
      <c r="A3013" s="1">
        <f>HYPERLINK("https://lsnyc.legalserver.org/matter/dynamic-profile/view/0780337","15-0780337")</f>
        <v>0</v>
      </c>
      <c r="B3013" t="s">
        <v>14</v>
      </c>
      <c r="C3013" t="s">
        <v>69</v>
      </c>
      <c r="D3013" t="s">
        <v>2356</v>
      </c>
      <c r="E3013" t="s">
        <v>2383</v>
      </c>
      <c r="F3013" t="s">
        <v>2437</v>
      </c>
      <c r="I3013" t="s">
        <v>2446</v>
      </c>
      <c r="J3013" t="s">
        <v>2457</v>
      </c>
      <c r="K3013" t="s">
        <v>2569</v>
      </c>
      <c r="L3013" t="s">
        <v>2603</v>
      </c>
      <c r="M3013" t="s">
        <v>2624</v>
      </c>
    </row>
    <row r="3014" spans="1:14">
      <c r="A3014" s="1">
        <f>HYPERLINK("https://lsnyc.legalserver.org/matter/dynamic-profile/view/0780000","15-0780000")</f>
        <v>0</v>
      </c>
      <c r="B3014" t="s">
        <v>17</v>
      </c>
      <c r="C3014" t="s">
        <v>56</v>
      </c>
      <c r="D3014" t="s">
        <v>2357</v>
      </c>
      <c r="E3014" t="s">
        <v>2387</v>
      </c>
      <c r="F3014" t="s">
        <v>2437</v>
      </c>
      <c r="I3014" t="s">
        <v>2446</v>
      </c>
      <c r="J3014" t="s">
        <v>2457</v>
      </c>
      <c r="K3014" t="s">
        <v>2569</v>
      </c>
      <c r="L3014" t="s">
        <v>2600</v>
      </c>
      <c r="M3014" t="s">
        <v>2629</v>
      </c>
    </row>
    <row r="3015" spans="1:14">
      <c r="A3015" s="1">
        <f>HYPERLINK("https://lsnyc.legalserver.org/matter/dynamic-profile/view/0777569","15-0777569")</f>
        <v>0</v>
      </c>
      <c r="B3015" t="s">
        <v>17</v>
      </c>
      <c r="C3015" t="s">
        <v>56</v>
      </c>
      <c r="D3015" t="s">
        <v>2358</v>
      </c>
      <c r="E3015" t="s">
        <v>2387</v>
      </c>
      <c r="F3015" t="s">
        <v>2437</v>
      </c>
      <c r="I3015" t="s">
        <v>2446</v>
      </c>
      <c r="J3015" t="s">
        <v>2457</v>
      </c>
      <c r="K3015" t="s">
        <v>2569</v>
      </c>
      <c r="L3015" t="s">
        <v>2600</v>
      </c>
      <c r="M3015" t="s">
        <v>2629</v>
      </c>
    </row>
    <row r="3016" spans="1:14">
      <c r="A3016" s="1">
        <f>HYPERLINK("https://lsnyc.legalserver.org/matter/dynamic-profile/view/0775726","15-0775726")</f>
        <v>0</v>
      </c>
      <c r="B3016" t="s">
        <v>17</v>
      </c>
      <c r="C3016" t="s">
        <v>56</v>
      </c>
      <c r="D3016" t="s">
        <v>2359</v>
      </c>
      <c r="E3016" t="s">
        <v>2387</v>
      </c>
      <c r="F3016" t="s">
        <v>2437</v>
      </c>
      <c r="I3016" t="s">
        <v>2446</v>
      </c>
      <c r="J3016" t="s">
        <v>2457</v>
      </c>
      <c r="K3016" t="s">
        <v>2569</v>
      </c>
      <c r="L3016" t="s">
        <v>2600</v>
      </c>
      <c r="M3016" t="s">
        <v>2629</v>
      </c>
    </row>
    <row r="3017" spans="1:14">
      <c r="A3017" s="1">
        <f>HYPERLINK("https://lsnyc.legalserver.org/matter/dynamic-profile/view/0775986","15-0775986")</f>
        <v>0</v>
      </c>
      <c r="B3017" t="s">
        <v>15</v>
      </c>
      <c r="C3017" t="s">
        <v>37</v>
      </c>
      <c r="D3017" t="s">
        <v>2360</v>
      </c>
      <c r="E3017" t="s">
        <v>2374</v>
      </c>
      <c r="F3017" t="s">
        <v>2439</v>
      </c>
      <c r="I3017" t="s">
        <v>2446</v>
      </c>
      <c r="J3017" t="s">
        <v>2467</v>
      </c>
      <c r="K3017" t="s">
        <v>2572</v>
      </c>
      <c r="L3017" t="s">
        <v>2601</v>
      </c>
      <c r="M3017" t="s">
        <v>2631</v>
      </c>
    </row>
    <row r="3018" spans="1:14">
      <c r="A3018" s="1">
        <f>HYPERLINK("https://lsnyc.legalserver.org/matter/dynamic-profile/view/0774991","15-0774991")</f>
        <v>0</v>
      </c>
      <c r="B3018" t="s">
        <v>14</v>
      </c>
      <c r="C3018" t="s">
        <v>73</v>
      </c>
      <c r="D3018" t="s">
        <v>2361</v>
      </c>
      <c r="E3018" t="s">
        <v>2387</v>
      </c>
      <c r="F3018" t="s">
        <v>2437</v>
      </c>
      <c r="I3018" t="s">
        <v>2446</v>
      </c>
      <c r="J3018" t="s">
        <v>2457</v>
      </c>
      <c r="K3018" t="s">
        <v>2569</v>
      </c>
      <c r="L3018" t="s">
        <v>2600</v>
      </c>
      <c r="M3018" t="s">
        <v>2629</v>
      </c>
    </row>
    <row r="3019" spans="1:14">
      <c r="A3019" s="1">
        <f>HYPERLINK("https://lsnyc.legalserver.org/matter/dynamic-profile/view/0775166","15-0775166")</f>
        <v>0</v>
      </c>
      <c r="B3019" t="s">
        <v>17</v>
      </c>
      <c r="C3019" t="s">
        <v>56</v>
      </c>
      <c r="D3019" t="s">
        <v>1546</v>
      </c>
      <c r="E3019" t="s">
        <v>2387</v>
      </c>
      <c r="F3019" t="s">
        <v>2437</v>
      </c>
      <c r="I3019" t="s">
        <v>2446</v>
      </c>
      <c r="J3019" t="s">
        <v>2457</v>
      </c>
      <c r="K3019" t="s">
        <v>2569</v>
      </c>
      <c r="L3019" t="s">
        <v>2600</v>
      </c>
      <c r="M3019" t="s">
        <v>2629</v>
      </c>
    </row>
    <row r="3020" spans="1:14">
      <c r="A3020" s="1">
        <f>HYPERLINK("https://lsnyc.legalserver.org/matter/dynamic-profile/view/0771215","15-0771215")</f>
        <v>0</v>
      </c>
      <c r="B3020" t="s">
        <v>17</v>
      </c>
      <c r="C3020" t="s">
        <v>56</v>
      </c>
      <c r="D3020" t="s">
        <v>2362</v>
      </c>
      <c r="E3020" t="s">
        <v>2387</v>
      </c>
      <c r="F3020" t="s">
        <v>2437</v>
      </c>
      <c r="I3020" t="s">
        <v>2446</v>
      </c>
      <c r="J3020" t="s">
        <v>2457</v>
      </c>
      <c r="K3020" t="s">
        <v>2569</v>
      </c>
      <c r="L3020" t="s">
        <v>2600</v>
      </c>
      <c r="M3020" t="s">
        <v>2629</v>
      </c>
    </row>
    <row r="3021" spans="1:14">
      <c r="A3021" s="1">
        <f>HYPERLINK("https://lsnyc.legalserver.org/matter/dynamic-profile/view/0770472","15-0770472")</f>
        <v>0</v>
      </c>
      <c r="B3021" t="s">
        <v>15</v>
      </c>
      <c r="C3021" t="s">
        <v>37</v>
      </c>
      <c r="D3021" t="s">
        <v>1018</v>
      </c>
      <c r="E3021" t="s">
        <v>2375</v>
      </c>
      <c r="F3021" t="s">
        <v>2437</v>
      </c>
      <c r="J3021" t="s">
        <v>2457</v>
      </c>
      <c r="K3021" t="s">
        <v>2569</v>
      </c>
      <c r="L3021" t="s">
        <v>2603</v>
      </c>
      <c r="M3021" t="s">
        <v>2626</v>
      </c>
    </row>
    <row r="3022" spans="1:14">
      <c r="A3022" s="1">
        <f>HYPERLINK("https://lsnyc.legalserver.org/matter/dynamic-profile/view/0771204","15-0771204")</f>
        <v>0</v>
      </c>
      <c r="B3022" t="s">
        <v>14</v>
      </c>
      <c r="C3022" t="s">
        <v>20</v>
      </c>
      <c r="D3022" t="s">
        <v>2363</v>
      </c>
      <c r="E3022" t="s">
        <v>2385</v>
      </c>
      <c r="F3022" t="s">
        <v>2438</v>
      </c>
      <c r="J3022" t="s">
        <v>2484</v>
      </c>
      <c r="K3022" t="s">
        <v>2582</v>
      </c>
      <c r="M3022" t="s">
        <v>2616</v>
      </c>
      <c r="N3022" t="s">
        <v>2648</v>
      </c>
    </row>
    <row r="3023" spans="1:14">
      <c r="A3023" s="1">
        <f>HYPERLINK("https://lsnyc.legalserver.org/matter/dynamic-profile/view/0770088","15-0770088")</f>
        <v>0</v>
      </c>
      <c r="B3023" t="s">
        <v>14</v>
      </c>
      <c r="C3023" t="s">
        <v>33</v>
      </c>
      <c r="D3023" t="s">
        <v>107</v>
      </c>
      <c r="E3023" t="s">
        <v>2431</v>
      </c>
      <c r="F3023" t="s">
        <v>2438</v>
      </c>
      <c r="K3023" t="s">
        <v>2569</v>
      </c>
      <c r="M3023" t="s">
        <v>2614</v>
      </c>
    </row>
    <row r="3024" spans="1:14">
      <c r="A3024" s="1">
        <f>HYPERLINK("https://lsnyc.legalserver.org/matter/dynamic-profile/view/0763592","14-0763592")</f>
        <v>0</v>
      </c>
      <c r="B3024" t="s">
        <v>17</v>
      </c>
      <c r="C3024" t="s">
        <v>56</v>
      </c>
      <c r="D3024" t="s">
        <v>2364</v>
      </c>
      <c r="E3024" t="s">
        <v>2387</v>
      </c>
      <c r="F3024" t="s">
        <v>2437</v>
      </c>
      <c r="I3024" t="s">
        <v>2446</v>
      </c>
      <c r="J3024" t="s">
        <v>2457</v>
      </c>
      <c r="K3024" t="s">
        <v>2569</v>
      </c>
      <c r="L3024" t="s">
        <v>2600</v>
      </c>
      <c r="M3024" t="s">
        <v>2629</v>
      </c>
    </row>
    <row r="3025" spans="1:13">
      <c r="A3025" s="1">
        <f>HYPERLINK("https://lsnyc.legalserver.org/matter/dynamic-profile/view/0765383","14-0765383")</f>
        <v>0</v>
      </c>
      <c r="B3025" t="s">
        <v>18</v>
      </c>
      <c r="C3025" t="s">
        <v>34</v>
      </c>
      <c r="D3025" t="s">
        <v>965</v>
      </c>
      <c r="E3025" t="s">
        <v>2435</v>
      </c>
      <c r="F3025" t="s">
        <v>2438</v>
      </c>
      <c r="J3025" t="s">
        <v>2448</v>
      </c>
      <c r="K3025" t="s">
        <v>2569</v>
      </c>
      <c r="M3025" t="s">
        <v>2616</v>
      </c>
    </row>
    <row r="3026" spans="1:13">
      <c r="A3026" s="1">
        <f>HYPERLINK("https://lsnyc.legalserver.org/matter/dynamic-profile/view/0768119","14-0768119")</f>
        <v>0</v>
      </c>
      <c r="B3026" t="s">
        <v>18</v>
      </c>
      <c r="C3026" t="s">
        <v>34</v>
      </c>
      <c r="D3026" t="s">
        <v>2365</v>
      </c>
      <c r="E3026" t="s">
        <v>2374</v>
      </c>
      <c r="F3026" t="s">
        <v>2438</v>
      </c>
      <c r="J3026" t="s">
        <v>2450</v>
      </c>
      <c r="K3026" t="s">
        <v>2569</v>
      </c>
      <c r="M3026" t="s">
        <v>2616</v>
      </c>
    </row>
    <row r="3027" spans="1:13">
      <c r="A3027" s="1">
        <f>HYPERLINK("https://lsnyc.legalserver.org/matter/dynamic-profile/view/0768129","14-0768129")</f>
        <v>0</v>
      </c>
      <c r="B3027" t="s">
        <v>18</v>
      </c>
      <c r="C3027" t="s">
        <v>34</v>
      </c>
      <c r="D3027" t="s">
        <v>618</v>
      </c>
      <c r="E3027" t="s">
        <v>2374</v>
      </c>
      <c r="F3027" t="s">
        <v>2438</v>
      </c>
      <c r="J3027" t="s">
        <v>2450</v>
      </c>
      <c r="K3027" t="s">
        <v>2569</v>
      </c>
      <c r="M3027" t="s">
        <v>2616</v>
      </c>
    </row>
    <row r="3028" spans="1:13">
      <c r="A3028" s="1">
        <f>HYPERLINK("https://lsnyc.legalserver.org/matter/dynamic-profile/view/0763319","14-0763319")</f>
        <v>0</v>
      </c>
      <c r="B3028" t="s">
        <v>17</v>
      </c>
      <c r="C3028" t="s">
        <v>60</v>
      </c>
      <c r="D3028" t="s">
        <v>2366</v>
      </c>
      <c r="E3028" t="s">
        <v>2387</v>
      </c>
      <c r="F3028" t="s">
        <v>2437</v>
      </c>
      <c r="I3028" t="s">
        <v>2446</v>
      </c>
      <c r="J3028" t="s">
        <v>2457</v>
      </c>
      <c r="K3028" t="s">
        <v>2572</v>
      </c>
      <c r="L3028" t="s">
        <v>2603</v>
      </c>
      <c r="M3028" t="s">
        <v>2629</v>
      </c>
    </row>
    <row r="3029" spans="1:13">
      <c r="A3029" s="1">
        <f>HYPERLINK("https://lsnyc.legalserver.org/matter/dynamic-profile/view/0754603","14-0754603")</f>
        <v>0</v>
      </c>
      <c r="B3029" t="s">
        <v>19</v>
      </c>
      <c r="C3029" t="s">
        <v>54</v>
      </c>
      <c r="D3029" t="s">
        <v>2367</v>
      </c>
      <c r="E3029" t="s">
        <v>2387</v>
      </c>
      <c r="F3029" t="s">
        <v>2437</v>
      </c>
      <c r="I3029" t="s">
        <v>2446</v>
      </c>
      <c r="J3029" t="s">
        <v>2447</v>
      </c>
      <c r="K3029" t="s">
        <v>2569</v>
      </c>
      <c r="L3029" t="s">
        <v>2600</v>
      </c>
      <c r="M3029" t="s">
        <v>2629</v>
      </c>
    </row>
    <row r="3030" spans="1:13">
      <c r="A3030" s="1">
        <f>HYPERLINK("https://lsnyc.legalserver.org/matter/dynamic-profile/view/0752958","14-0752958")</f>
        <v>0</v>
      </c>
      <c r="B3030" t="s">
        <v>17</v>
      </c>
      <c r="C3030" t="s">
        <v>60</v>
      </c>
      <c r="D3030" t="s">
        <v>2368</v>
      </c>
      <c r="E3030" t="s">
        <v>2387</v>
      </c>
      <c r="F3030" t="s">
        <v>2437</v>
      </c>
      <c r="J3030" t="s">
        <v>2457</v>
      </c>
      <c r="K3030" t="s">
        <v>2569</v>
      </c>
      <c r="L3030" t="s">
        <v>2603</v>
      </c>
      <c r="M3030" t="s">
        <v>2629</v>
      </c>
    </row>
    <row r="3031" spans="1:13">
      <c r="A3031" s="1">
        <f>HYPERLINK("https://lsnyc.legalserver.org/matter/dynamic-profile/view/0749345","14-0749345")</f>
        <v>0</v>
      </c>
      <c r="B3031" t="s">
        <v>14</v>
      </c>
      <c r="C3031" t="s">
        <v>20</v>
      </c>
      <c r="D3031" t="s">
        <v>1660</v>
      </c>
      <c r="E3031" t="s">
        <v>2387</v>
      </c>
      <c r="F3031" t="s">
        <v>2437</v>
      </c>
      <c r="I3031" t="s">
        <v>2446</v>
      </c>
      <c r="J3031" t="s">
        <v>2448</v>
      </c>
      <c r="K3031" t="s">
        <v>2569</v>
      </c>
      <c r="L3031" t="s">
        <v>2600</v>
      </c>
      <c r="M3031" t="s">
        <v>2626</v>
      </c>
    </row>
    <row r="3032" spans="1:13">
      <c r="A3032" s="1">
        <f>HYPERLINK("https://lsnyc.legalserver.org/matter/dynamic-profile/view/0732424","13-0732424")</f>
        <v>0</v>
      </c>
      <c r="B3032" t="s">
        <v>17</v>
      </c>
      <c r="C3032" t="s">
        <v>56</v>
      </c>
      <c r="D3032" t="s">
        <v>2369</v>
      </c>
      <c r="E3032" t="s">
        <v>2394</v>
      </c>
      <c r="F3032" t="s">
        <v>2437</v>
      </c>
      <c r="J3032" t="s">
        <v>2471</v>
      </c>
      <c r="K3032" t="s">
        <v>2571</v>
      </c>
      <c r="L3032" t="s">
        <v>2600</v>
      </c>
      <c r="M3032" t="s">
        <v>2627</v>
      </c>
    </row>
  </sheetData>
  <conditionalFormatting sqref="E1:E100000">
    <cfRule type="cellIs" dxfId="0" priority="2" operator="equal">
      <formula>"N/A"</formula>
    </cfRule>
  </conditionalFormatting>
  <conditionalFormatting sqref="E1:F100000">
    <cfRule type="cellIs" dxfId="0" priority="1" operator="equal">
      <formula>""</formula>
    </cfRule>
  </conditionalFormatting>
  <conditionalFormatting sqref="F1:F100000">
    <cfRule type="cellIs" dxfId="0" priority="3" operator="equal">
      <formula>"Hold for Review"</formula>
    </cfRule>
  </conditionalFormatting>
  <conditionalFormatting sqref="G1:G100000">
    <cfRule type="cellIs" dxfId="0" priority="4" operator="equal">
      <formula>"Needs DHCI Form"</formula>
    </cfRule>
  </conditionalFormatting>
  <conditionalFormatting sqref="H1:H100000">
    <cfRule type="cellIs" dxfId="0" priority="5" operator="equal">
      <formula>"Needs Income Waiver"</formula>
    </cfRule>
  </conditionalFormatting>
  <conditionalFormatting sqref="I1:I100000">
    <cfRule type="cellIs" dxfId="0" priority="6" operator="equal">
      <formula>"Needs Substantial Activity in FY20"</formula>
    </cfRule>
  </conditionalFormatting>
  <conditionalFormatting sqref="J1:K100000">
    <cfRule type="cellIs" dxfId="0" priority="7" operator="equal">
      <formula>""</formula>
    </cfRule>
  </conditionalFormatting>
  <conditionalFormatting sqref="L1:L100000">
    <cfRule type="cellIs" dxfId="0" priority="8" operator="equal">
      <formula>"*Needs Outcome*"</formula>
    </cfRule>
    <cfRule type="cellIs" dxfId="0" priority="9" operator="equal">
      <formula>"*Needs Outcome Date*"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2019-12-02T21:01:01Z</dcterms:created>
  <dcterms:modified xsi:type="dcterms:W3CDTF">2019-12-02T21:01:01Z</dcterms:modified>
</cp:coreProperties>
</file>